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L:\Award Year Process\2025-26\Calculator\"/>
    </mc:Choice>
  </mc:AlternateContent>
  <xr:revisionPtr revIDLastSave="0" documentId="13_ncr:1_{1E57AECF-731F-4E4C-86E1-7F72F6CC6AB4}" xr6:coauthVersionLast="47" xr6:coauthVersionMax="47" xr10:uidLastSave="{00000000-0000-0000-0000-000000000000}"/>
  <workbookProtection workbookAlgorithmName="SHA-512" workbookHashValue="+fD1bLJw1yF/3K7ZiO5WTJFMdcm6Z0iojw7tpzmkx3yo6Wu8vdERoe7z8fZ0t1+nlqCh1JTWZMAMpG0R6+KMKg==" workbookSaltValue="2qH3jbReNlXdA3w944UKng==" workbookSpinCount="100000" lockStructure="1"/>
  <bookViews>
    <workbookView xWindow="-120" yWindow="-120" windowWidth="29040" windowHeight="15840" xr2:uid="{00000000-000D-0000-FFFF-FFFF00000000}"/>
  </bookViews>
  <sheets>
    <sheet name="Budget Calculator" sheetId="1" r:id="rId1"/>
    <sheet name="Sheet2" sheetId="2" state="hidden" r:id="rId2"/>
  </sheets>
  <definedNames>
    <definedName name="Class">Sheet2!$A$2:$A$9</definedName>
    <definedName name="_xlnm.Print_Area" localSheetId="0">'Budget Calculator'!$A$1:$I$46</definedName>
    <definedName name="Z_C0A7FD7D_CD92_4CA6_A897_2F5C97D88BA3_.wvu.PrintArea" localSheetId="0" hidden="1">'Budget Calculator'!$A$1:$I$46</definedName>
  </definedNames>
  <calcPr calcId="191029"/>
  <customWorkbookViews>
    <customWorkbookView name="Shared VIew" guid="{C0A7FD7D-CD92-4CA6-A897-2F5C97D88BA3}" includeHiddenRowCol="0" xWindow="254" yWindow="35" windowWidth="775" windowHeight="713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0" i="1" l="1"/>
  <c r="L27" i="1"/>
  <c r="L25" i="1"/>
  <c r="N23" i="1"/>
  <c r="M23" i="1"/>
  <c r="L23" i="1"/>
  <c r="K23" i="1"/>
  <c r="N21" i="1"/>
  <c r="M21" i="1"/>
  <c r="L21" i="1"/>
  <c r="K21" i="1"/>
  <c r="N33" i="1"/>
  <c r="M33" i="1"/>
  <c r="L33" i="1"/>
  <c r="K33" i="1"/>
  <c r="E7" i="1"/>
  <c r="E18" i="1"/>
  <c r="D18" i="1"/>
  <c r="C18" i="1"/>
  <c r="B18" i="1"/>
  <c r="E17" i="1"/>
  <c r="D17" i="1"/>
  <c r="C17" i="1"/>
  <c r="B17" i="1"/>
  <c r="E16" i="1"/>
  <c r="D16" i="1"/>
  <c r="C16" i="1"/>
  <c r="B16" i="1"/>
  <c r="E15" i="1"/>
  <c r="D15" i="1"/>
  <c r="C15" i="1"/>
  <c r="B15" i="1"/>
  <c r="E14" i="1"/>
  <c r="D14" i="1"/>
  <c r="C14" i="1"/>
  <c r="B14" i="1"/>
  <c r="E13" i="1"/>
  <c r="D13" i="1"/>
  <c r="C13" i="1"/>
  <c r="B13" i="1"/>
  <c r="E12" i="1"/>
  <c r="D12" i="1"/>
  <c r="C12" i="1"/>
  <c r="B12" i="1"/>
  <c r="E11" i="1"/>
  <c r="D11" i="1"/>
  <c r="C11" i="1"/>
  <c r="B11" i="1"/>
  <c r="E10" i="1"/>
  <c r="D10" i="1"/>
  <c r="C10" i="1"/>
  <c r="B10" i="1"/>
  <c r="E9" i="1"/>
  <c r="D9" i="1"/>
  <c r="C9" i="1"/>
  <c r="B9" i="1"/>
  <c r="E8" i="1"/>
  <c r="D8" i="1"/>
  <c r="C8" i="1"/>
  <c r="B8" i="1"/>
  <c r="D7" i="1"/>
  <c r="C7" i="1"/>
  <c r="B7" i="1"/>
  <c r="E6" i="1"/>
  <c r="D6" i="1"/>
  <c r="C6" i="1"/>
  <c r="B6" i="1"/>
  <c r="I15" i="1" l="1"/>
  <c r="I17" i="1" l="1"/>
  <c r="I16" i="1"/>
  <c r="I18" i="1"/>
  <c r="E28" i="1" l="1"/>
  <c r="D28" i="1"/>
  <c r="C28" i="1"/>
  <c r="B28" i="1"/>
  <c r="C24" i="1" l="1"/>
  <c r="C23" i="1"/>
  <c r="E22" i="1"/>
  <c r="D22" i="1"/>
  <c r="C22" i="1"/>
  <c r="B22" i="1"/>
  <c r="E21" i="1"/>
  <c r="D21" i="1"/>
  <c r="C21" i="1"/>
  <c r="B21" i="1"/>
  <c r="D39" i="1" l="1"/>
  <c r="E39" i="1" s="1"/>
  <c r="D40" i="1"/>
  <c r="E40" i="1" s="1"/>
  <c r="D41" i="1"/>
  <c r="E41" i="1" s="1"/>
  <c r="D42" i="1"/>
  <c r="E42" i="1" s="1"/>
  <c r="D43" i="1"/>
  <c r="E43" i="1" s="1"/>
  <c r="D38" i="1" l="1"/>
  <c r="E38" i="1" s="1"/>
  <c r="B44" i="1" l="1"/>
  <c r="E44" i="1"/>
  <c r="D19" i="1" l="1"/>
  <c r="B19" i="1"/>
  <c r="C19" i="1"/>
  <c r="E19" i="1"/>
  <c r="O5" i="1" l="1"/>
  <c r="O7" i="1"/>
  <c r="O6" i="1"/>
  <c r="N7" i="1"/>
  <c r="N6" i="1"/>
  <c r="N5" i="1"/>
  <c r="M6" i="1"/>
  <c r="M5" i="1"/>
  <c r="M7" i="1"/>
  <c r="L5" i="1"/>
  <c r="L6" i="1"/>
  <c r="L8" i="1"/>
  <c r="L7" i="1"/>
  <c r="D33" i="1"/>
  <c r="E33" i="1"/>
  <c r="C33" i="1"/>
  <c r="B33" i="1"/>
  <c r="I20" i="1" l="1"/>
  <c r="I22" i="1"/>
  <c r="I21" i="1"/>
  <c r="I23" i="1"/>
  <c r="D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Esmeralda Espino</author>
  </authors>
  <commentList>
    <comment ref="A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Select Class from dropfown list to your right-----&gt;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These fees can be waived to reduce your costs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Health insurance through Pacific is mandatory unless a "Health Insurance Waiver" has been approved. To decline Health Insurance funding, type '0'  </t>
        </r>
        <r>
          <rPr>
            <sz val="9"/>
            <color indexed="81"/>
            <rFont val="Tahoma"/>
            <family val="2"/>
          </rPr>
          <t xml:space="preserve"> 
</t>
        </r>
      </text>
    </comment>
    <comment ref="A2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*DDS/IDS only: To decline additional funding  for future bookstore charges, type '0.'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(DDS Year 2 only) To decline funding, type in '0.'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4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 (DDS Year 3 only)                           To decline funding, type in '0.'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5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First Year Students: you can have your deposit credited towards tuition and fees. 
</t>
        </r>
      </text>
    </comment>
    <comment ref="A26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New Students Only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7" authorId="0" shapeId="0" xr:uid="{00000000-0006-0000-0000-000009000000}">
      <text>
        <r>
          <rPr>
            <sz val="9"/>
            <color indexed="81"/>
            <rFont val="Tahoma"/>
            <family val="2"/>
          </rPr>
          <t xml:space="preserve">You can decline living allowance in full or reduce living allowance per quarter depending on your needs.
</t>
        </r>
      </text>
    </comment>
    <comment ref="A30" authorId="0" shapeId="0" xr:uid="{00000000-0006-0000-0000-00000A000000}">
      <text>
        <r>
          <rPr>
            <sz val="9"/>
            <color indexed="81"/>
            <rFont val="Tahoma"/>
            <family val="2"/>
          </rPr>
          <t xml:space="preserve">Determine any other funding available to you that were not included in your Financial Aid Offer that you want to use  to cover a portion of your tuiton and fees. This may include personal savings, financial support from family, 529 Colelge Savings, personal loans, etc. 
</t>
        </r>
      </text>
    </comment>
    <comment ref="A36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REFER TO YOUR AWARD LETTER FOR TOTAL $ AMOUNTS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7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Amount Credited to student's university account</t>
        </r>
      </text>
    </comment>
  </commentList>
</comments>
</file>

<file path=xl/sharedStrings.xml><?xml version="1.0" encoding="utf-8"?>
<sst xmlns="http://schemas.openxmlformats.org/spreadsheetml/2006/main" count="125" uniqueCount="101">
  <si>
    <t>CLASS</t>
  </si>
  <si>
    <t>Summer</t>
  </si>
  <si>
    <t>Fall</t>
  </si>
  <si>
    <t xml:space="preserve">Winter </t>
  </si>
  <si>
    <t>Spring</t>
  </si>
  <si>
    <t>Health Center Fee</t>
  </si>
  <si>
    <t>Tuition</t>
  </si>
  <si>
    <t>Disability Fee</t>
  </si>
  <si>
    <t>Kit</t>
  </si>
  <si>
    <t>Dental Associations</t>
  </si>
  <si>
    <t>Instrument Management Fee</t>
  </si>
  <si>
    <t>Technology Fee</t>
  </si>
  <si>
    <t>Optical Loupe</t>
  </si>
  <si>
    <t>Rental Kit</t>
  </si>
  <si>
    <t>Student Body fee</t>
  </si>
  <si>
    <t>Lab Fee</t>
  </si>
  <si>
    <t>Asilomar</t>
  </si>
  <si>
    <t>Commencement Fee</t>
  </si>
  <si>
    <t>Health Insurance</t>
  </si>
  <si>
    <t>Bookstore Allowance</t>
  </si>
  <si>
    <t>Living Allowance</t>
  </si>
  <si>
    <t>Health Center fee</t>
  </si>
  <si>
    <t>DDS Year 1</t>
  </si>
  <si>
    <t>DDS Year 2</t>
  </si>
  <si>
    <t>DDS Year 3</t>
  </si>
  <si>
    <t>IDS Year 1</t>
  </si>
  <si>
    <t>IDS Year 2</t>
  </si>
  <si>
    <t>ORTHO/ENDO YEAR 1</t>
  </si>
  <si>
    <t>ORTHO/ENDO YEAR 2</t>
  </si>
  <si>
    <t>ORTHO/ENDO YEAR 3 (SUMMER)</t>
  </si>
  <si>
    <t>MANDATORY FEES</t>
  </si>
  <si>
    <t>Deposit</t>
  </si>
  <si>
    <t>National Boards Part II</t>
  </si>
  <si>
    <t>Outside Resource</t>
  </si>
  <si>
    <t>Estimated Cost Per Quarter</t>
  </si>
  <si>
    <t>Total Per Quarter</t>
  </si>
  <si>
    <t>Other Loans</t>
  </si>
  <si>
    <t>Loan Type</t>
  </si>
  <si>
    <t>Summer Qtr.</t>
  </si>
  <si>
    <t>Fall Qtr.</t>
  </si>
  <si>
    <t>Winter Qtr.</t>
  </si>
  <si>
    <t>Spring Qtr.</t>
  </si>
  <si>
    <t>Direct GradPlus</t>
  </si>
  <si>
    <t xml:space="preserve">Bookstore Allowance                    </t>
  </si>
  <si>
    <r>
      <t xml:space="preserve">National Boards Part I                              </t>
    </r>
    <r>
      <rPr>
        <i/>
        <sz val="10"/>
        <color theme="1"/>
        <rFont val="Calibri"/>
        <family val="2"/>
        <scheme val="minor"/>
      </rPr>
      <t/>
    </r>
  </si>
  <si>
    <t>Aid/qtr.</t>
  </si>
  <si>
    <r>
      <t xml:space="preserve">This worksheet aims to help you calculate the loan amounts you need to accept based on your circumstances.                                                                                                                                              </t>
    </r>
    <r>
      <rPr>
        <b/>
        <i/>
        <sz val="10"/>
        <color theme="1"/>
        <rFont val="Calibri"/>
        <family val="2"/>
        <scheme val="minor"/>
      </rPr>
      <t>Remember: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 xml:space="preserve">Borrow only what you </t>
    </r>
    <r>
      <rPr>
        <b/>
        <i/>
        <u/>
        <sz val="10"/>
        <color theme="1"/>
        <rFont val="Calibri"/>
        <family val="2"/>
        <scheme val="minor"/>
      </rPr>
      <t>'NEED.'</t>
    </r>
    <r>
      <rPr>
        <i/>
        <sz val="10"/>
        <color theme="1"/>
        <rFont val="Calibri"/>
        <family val="2"/>
        <scheme val="minor"/>
      </rPr>
      <t xml:space="preserve"> This is only an estimate and intended for planning purposes alone.</t>
    </r>
  </si>
  <si>
    <t>CLICK Step 1: Select CLASS</t>
  </si>
  <si>
    <t xml:space="preserve">CLICK Step 2: Determine need for funding 'OTHER FEES' </t>
  </si>
  <si>
    <t>CLICK Step 3: Manage CREDITS ( for New Students Only)</t>
  </si>
  <si>
    <t>CLICK ESTIMATED TOTAL COST OF ATTENDANCE:</t>
  </si>
  <si>
    <t>Federal Direct Ford Unsub Loan 1</t>
  </si>
  <si>
    <t>Federal Direct Ford Unsub Loan 2</t>
  </si>
  <si>
    <t>Schoalrships/Grants</t>
  </si>
  <si>
    <t>TOTAL AWARD</t>
  </si>
  <si>
    <t xml:space="preserve">CLICK Step 6: FINANCIAL AID OFFER                                                                                                               </t>
  </si>
  <si>
    <t>Aid Type</t>
  </si>
  <si>
    <t>Actual $</t>
  </si>
  <si>
    <t>Loan Origination fee</t>
  </si>
  <si>
    <t>Net Amount</t>
  </si>
  <si>
    <t>Federal Direct Grad PLUS Loan 1</t>
  </si>
  <si>
    <t>Federal Direct Grad PLUS Loan 2</t>
  </si>
  <si>
    <t>Step 7: Suggested Financial Aid Need</t>
  </si>
  <si>
    <t>Based on your estimated costs, scholarships, outside resource, and associated loan fees, you should only borrow:</t>
  </si>
  <si>
    <t>Accept your Loan offer as displayed below:</t>
  </si>
  <si>
    <t xml:space="preserve">       Direct Unsub</t>
  </si>
  <si>
    <t>TOTAL NET AWARD</t>
  </si>
  <si>
    <t>Step 8: Accept/Decline Your Financial Aid offer</t>
  </si>
  <si>
    <r>
      <rPr>
        <b/>
        <sz val="11"/>
        <color theme="1"/>
        <rFont val="Calibri"/>
        <family val="2"/>
        <scheme val="minor"/>
      </rPr>
      <t>Option 2: Decline Full FA Offer</t>
    </r>
    <r>
      <rPr>
        <sz val="11"/>
        <color theme="1"/>
        <rFont val="Calibri"/>
        <family val="2"/>
        <scheme val="minor"/>
      </rPr>
      <t xml:space="preserve">           - go to InsidePacific to decline all awards</t>
    </r>
  </si>
  <si>
    <t>(Note: contact your Financial Aid Officer at 415.749.3341 or sf_finaid@pacific.edu for any inquiries.)</t>
  </si>
  <si>
    <r>
      <t xml:space="preserve">Option 3: Partially Accept/Decline FA Offer                 </t>
    </r>
    <r>
      <rPr>
        <sz val="11"/>
        <color theme="1"/>
        <rFont val="Calibri"/>
        <family val="2"/>
        <scheme val="minor"/>
      </rPr>
      <t>- go to InsidePacific to partially accept/decline FA offer based on the calcualations in Step 7</t>
    </r>
  </si>
  <si>
    <r>
      <rPr>
        <b/>
        <sz val="11"/>
        <color theme="1"/>
        <rFont val="Calibri"/>
        <family val="2"/>
        <scheme val="minor"/>
      </rPr>
      <t xml:space="preserve">Option 1: Accept Full FA Offer  </t>
    </r>
    <r>
      <rPr>
        <sz val="11"/>
        <color theme="1"/>
        <rFont val="Calibri"/>
        <family val="2"/>
        <scheme val="minor"/>
      </rPr>
      <t xml:space="preserve">         - go to InsidePacific to accept all awards</t>
    </r>
  </si>
  <si>
    <t>CLICK Step 4: Determine need for funding Living Expenses</t>
  </si>
  <si>
    <t xml:space="preserve">Health Insurance                                                                                                   </t>
  </si>
  <si>
    <t>HI Check</t>
  </si>
  <si>
    <t>BS Check</t>
  </si>
  <si>
    <t>NB I Check</t>
  </si>
  <si>
    <t>NB II Check</t>
  </si>
  <si>
    <r>
      <t xml:space="preserve">                                                         </t>
    </r>
    <r>
      <rPr>
        <i/>
        <sz val="10"/>
        <color theme="1"/>
        <rFont val="Calibri"/>
        <family val="2"/>
        <scheme val="minor"/>
      </rPr>
      <t xml:space="preserve"> </t>
    </r>
  </si>
  <si>
    <t>Deposit Check</t>
  </si>
  <si>
    <r>
      <t xml:space="preserve">                                            </t>
    </r>
    <r>
      <rPr>
        <i/>
        <sz val="10"/>
        <color theme="1"/>
        <rFont val="Calibri"/>
        <family val="2"/>
        <scheme val="minor"/>
      </rPr>
      <t/>
    </r>
  </si>
  <si>
    <t>Living A Check</t>
  </si>
  <si>
    <t>Winter</t>
  </si>
  <si>
    <t>Year 1</t>
  </si>
  <si>
    <t>Year 2</t>
  </si>
  <si>
    <t>Year 3</t>
  </si>
  <si>
    <t>Summer Only</t>
  </si>
  <si>
    <t>GradPLus</t>
  </si>
  <si>
    <t>CLICK Step 5: Outside Resource</t>
  </si>
  <si>
    <t>DROPDOWN LIST</t>
  </si>
  <si>
    <t>INBDE</t>
  </si>
  <si>
    <t>Blank</t>
  </si>
  <si>
    <t>Option 4:  Contact Financial Aid to confirm if your calculations are correct</t>
  </si>
  <si>
    <t>For DDS1 students:</t>
  </si>
  <si>
    <t>GPLUS2=SPR only</t>
  </si>
  <si>
    <t>GPLUS1= total SFW amount (see award letter)</t>
  </si>
  <si>
    <t xml:space="preserve">If you want to borrow for less than tuition and fees, </t>
  </si>
  <si>
    <t>please put your outside resource quarterly</t>
  </si>
  <si>
    <t>Example, if you want to pay your kit fees out of pocket, add</t>
  </si>
  <si>
    <t>the quarterly kit charge to the outside resource section</t>
  </si>
  <si>
    <t>Dental School Cost for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</si>
</sst>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0.000%"/>
    <numFmt numFmtId="166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rgb="FF000000"/>
      <name val="Segoe UI"/>
      <family val="2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8" fontId="0" fillId="0" borderId="0" xfId="0" applyNumberFormat="1"/>
    <xf numFmtId="0" fontId="0" fillId="0" borderId="0" xfId="0" applyAlignment="1">
      <alignment vertical="top"/>
    </xf>
    <xf numFmtId="0" fontId="2" fillId="2" borderId="2" xfId="0" applyFont="1" applyFill="1" applyBorder="1"/>
    <xf numFmtId="0" fontId="9" fillId="0" borderId="1" xfId="0" applyFont="1" applyBorder="1"/>
    <xf numFmtId="8" fontId="10" fillId="0" borderId="1" xfId="0" applyNumberFormat="1" applyFont="1" applyBorder="1"/>
    <xf numFmtId="8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0" fillId="5" borderId="0" xfId="0" applyFill="1" applyAlignment="1">
      <alignment horizontal="left" vertical="center" wrapText="1"/>
    </xf>
    <xf numFmtId="0" fontId="0" fillId="5" borderId="0" xfId="0" applyFill="1"/>
    <xf numFmtId="0" fontId="1" fillId="5" borderId="0" xfId="0" applyFont="1" applyFill="1" applyAlignment="1" applyProtection="1">
      <alignment horizontal="center"/>
      <protection locked="0"/>
    </xf>
    <xf numFmtId="8" fontId="10" fillId="5" borderId="0" xfId="0" applyNumberFormat="1" applyFont="1" applyFill="1"/>
    <xf numFmtId="8" fontId="2" fillId="5" borderId="0" xfId="0" applyNumberFormat="1" applyFont="1" applyFill="1"/>
    <xf numFmtId="8" fontId="10" fillId="5" borderId="0" xfId="0" applyNumberFormat="1" applyFont="1" applyFill="1" applyAlignment="1" applyProtection="1">
      <alignment horizontal="center" vertical="center"/>
      <protection locked="0"/>
    </xf>
    <xf numFmtId="8" fontId="10" fillId="5" borderId="0" xfId="0" applyNumberFormat="1" applyFont="1" applyFill="1" applyAlignment="1">
      <alignment horizontal="center" vertical="center"/>
    </xf>
    <xf numFmtId="0" fontId="2" fillId="5" borderId="0" xfId="0" applyFont="1" applyFill="1" applyAlignment="1">
      <alignment horizontal="center" vertical="top" wrapText="1"/>
    </xf>
    <xf numFmtId="0" fontId="2" fillId="5" borderId="0" xfId="0" applyFont="1" applyFill="1" applyAlignment="1">
      <alignment horizontal="center" wrapText="1"/>
    </xf>
    <xf numFmtId="0" fontId="0" fillId="5" borderId="0" xfId="0" applyFill="1" applyAlignment="1">
      <alignment horizontal="left" wrapText="1"/>
    </xf>
    <xf numFmtId="0" fontId="10" fillId="5" borderId="0" xfId="0" applyFont="1" applyFill="1" applyAlignment="1">
      <alignment horizontal="center"/>
    </xf>
    <xf numFmtId="8" fontId="2" fillId="5" borderId="0" xfId="0" applyNumberFormat="1" applyFont="1" applyFill="1" applyAlignment="1">
      <alignment horizontal="center"/>
    </xf>
    <xf numFmtId="0" fontId="2" fillId="4" borderId="1" xfId="0" applyFont="1" applyFill="1" applyBorder="1" applyAlignment="1">
      <alignment vertical="center"/>
    </xf>
    <xf numFmtId="8" fontId="2" fillId="4" borderId="1" xfId="0" applyNumberFormat="1" applyFont="1" applyFill="1" applyBorder="1" applyAlignment="1">
      <alignment vertical="center"/>
    </xf>
    <xf numFmtId="0" fontId="2" fillId="0" borderId="1" xfId="0" applyFont="1" applyBorder="1"/>
    <xf numFmtId="166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 wrapText="1"/>
    </xf>
    <xf numFmtId="0" fontId="0" fillId="0" borderId="16" xfId="0" applyBorder="1"/>
    <xf numFmtId="8" fontId="0" fillId="0" borderId="16" xfId="0" applyNumberFormat="1" applyBorder="1" applyAlignment="1">
      <alignment horizontal="center"/>
    </xf>
    <xf numFmtId="8" fontId="0" fillId="0" borderId="16" xfId="0" applyNumberFormat="1" applyBorder="1"/>
    <xf numFmtId="0" fontId="0" fillId="5" borderId="16" xfId="0" applyFill="1" applyBorder="1"/>
    <xf numFmtId="8" fontId="0" fillId="5" borderId="16" xfId="0" applyNumberFormat="1" applyFill="1" applyBorder="1"/>
    <xf numFmtId="166" fontId="2" fillId="6" borderId="1" xfId="0" applyNumberFormat="1" applyFont="1" applyFill="1" applyBorder="1" applyAlignment="1" applyProtection="1">
      <alignment horizontal="center"/>
      <protection locked="0"/>
    </xf>
    <xf numFmtId="0" fontId="2" fillId="7" borderId="1" xfId="0" applyFont="1" applyFill="1" applyBorder="1"/>
    <xf numFmtId="166" fontId="2" fillId="7" borderId="1" xfId="0" applyNumberFormat="1" applyFont="1" applyFill="1" applyBorder="1" applyAlignment="1">
      <alignment horizontal="center"/>
    </xf>
    <xf numFmtId="0" fontId="9" fillId="7" borderId="1" xfId="0" applyFont="1" applyFill="1" applyBorder="1"/>
    <xf numFmtId="8" fontId="9" fillId="7" borderId="1" xfId="0" applyNumberFormat="1" applyFont="1" applyFill="1" applyBorder="1"/>
    <xf numFmtId="164" fontId="2" fillId="0" borderId="1" xfId="0" applyNumberFormat="1" applyFont="1" applyBorder="1" applyAlignment="1">
      <alignment horizontal="center" vertical="center"/>
    </xf>
    <xf numFmtId="165" fontId="11" fillId="2" borderId="12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9" fillId="0" borderId="5" xfId="0" applyFont="1" applyBorder="1" applyAlignment="1">
      <alignment wrapText="1"/>
    </xf>
    <xf numFmtId="8" fontId="9" fillId="5" borderId="1" xfId="0" applyNumberFormat="1" applyFont="1" applyFill="1" applyBorder="1" applyAlignment="1">
      <alignment horizontal="center" vertical="center"/>
    </xf>
    <xf numFmtId="8" fontId="9" fillId="5" borderId="1" xfId="0" applyNumberFormat="1" applyFont="1" applyFill="1" applyBorder="1" applyAlignment="1" applyProtection="1">
      <alignment horizontal="center" vertical="center"/>
      <protection locked="0"/>
    </xf>
    <xf numFmtId="8" fontId="12" fillId="6" borderId="1" xfId="0" applyNumberFormat="1" applyFont="1" applyFill="1" applyBorder="1" applyAlignment="1" applyProtection="1">
      <alignment horizontal="center" vertical="center"/>
      <protection locked="0"/>
    </xf>
    <xf numFmtId="8" fontId="12" fillId="6" borderId="1" xfId="0" applyNumberFormat="1" applyFont="1" applyFill="1" applyBorder="1" applyProtection="1">
      <protection locked="0"/>
    </xf>
    <xf numFmtId="0" fontId="2" fillId="2" borderId="1" xfId="0" applyFont="1" applyFill="1" applyBorder="1"/>
    <xf numFmtId="164" fontId="2" fillId="0" borderId="1" xfId="0" quotePrefix="1" applyNumberFormat="1" applyFont="1" applyBorder="1" applyAlignment="1">
      <alignment horizontal="center" vertical="center"/>
    </xf>
    <xf numFmtId="0" fontId="2" fillId="0" borderId="16" xfId="0" applyFont="1" applyBorder="1" applyProtection="1">
      <protection locked="0"/>
    </xf>
    <xf numFmtId="3" fontId="2" fillId="0" borderId="16" xfId="0" applyNumberFormat="1" applyFont="1" applyBorder="1" applyProtection="1">
      <protection locked="0"/>
    </xf>
    <xf numFmtId="3" fontId="0" fillId="0" borderId="16" xfId="0" applyNumberFormat="1" applyBorder="1" applyProtection="1">
      <protection locked="0"/>
    </xf>
    <xf numFmtId="0" fontId="0" fillId="0" borderId="16" xfId="0" applyBorder="1" applyProtection="1">
      <protection locked="0"/>
    </xf>
    <xf numFmtId="164" fontId="0" fillId="0" borderId="16" xfId="0" applyNumberFormat="1" applyBorder="1" applyProtection="1">
      <protection locked="0"/>
    </xf>
    <xf numFmtId="0" fontId="2" fillId="0" borderId="0" xfId="0" applyFont="1" applyProtection="1">
      <protection locked="0" hidden="1"/>
    </xf>
    <xf numFmtId="164" fontId="2" fillId="0" borderId="0" xfId="0" applyNumberFormat="1" applyFont="1" applyProtection="1">
      <protection locked="0" hidden="1"/>
    </xf>
    <xf numFmtId="0" fontId="0" fillId="0" borderId="0" xfId="0" applyProtection="1">
      <protection locked="0" hidden="1"/>
    </xf>
    <xf numFmtId="0" fontId="0" fillId="0" borderId="16" xfId="0" applyBorder="1" applyAlignment="1" applyProtection="1">
      <alignment vertical="top"/>
      <protection locked="0" hidden="1"/>
    </xf>
    <xf numFmtId="164" fontId="0" fillId="0" borderId="16" xfId="0" applyNumberFormat="1" applyBorder="1" applyAlignment="1" applyProtection="1">
      <alignment vertical="top"/>
      <protection locked="0" hidden="1"/>
    </xf>
    <xf numFmtId="0" fontId="0" fillId="0" borderId="16" xfId="0" applyBorder="1" applyProtection="1">
      <protection locked="0" hidden="1"/>
    </xf>
    <xf numFmtId="164" fontId="0" fillId="0" borderId="16" xfId="0" applyNumberFormat="1" applyBorder="1" applyProtection="1">
      <protection locked="0" hidden="1"/>
    </xf>
    <xf numFmtId="164" fontId="0" fillId="0" borderId="0" xfId="0" applyNumberFormat="1" applyProtection="1">
      <protection locked="0" hidden="1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vertical="top"/>
      <protection locked="0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wrapText="1"/>
      <protection locked="0"/>
    </xf>
    <xf numFmtId="165" fontId="14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8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0" fillId="5" borderId="5" xfId="0" applyFill="1" applyBorder="1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0" fontId="0" fillId="5" borderId="6" xfId="0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left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0" fillId="5" borderId="5" xfId="0" applyFill="1" applyBorder="1" applyAlignment="1">
      <alignment horizontal="left" vertical="top" wrapText="1"/>
    </xf>
    <xf numFmtId="0" fontId="0" fillId="5" borderId="0" xfId="0" applyFill="1" applyAlignment="1">
      <alignment horizontal="left" vertical="top" wrapText="1"/>
    </xf>
    <xf numFmtId="0" fontId="0" fillId="5" borderId="6" xfId="0" applyFill="1" applyBorder="1" applyAlignment="1">
      <alignment horizontal="left" vertical="top" wrapText="1"/>
    </xf>
    <xf numFmtId="6" fontId="0" fillId="7" borderId="10" xfId="0" applyNumberFormat="1" applyFill="1" applyBorder="1" applyAlignment="1">
      <alignment horizontal="center" vertical="top" wrapText="1"/>
    </xf>
    <xf numFmtId="6" fontId="0" fillId="7" borderId="11" xfId="0" applyNumberFormat="1" applyFill="1" applyBorder="1" applyAlignment="1">
      <alignment horizontal="center" vertical="top" wrapText="1"/>
    </xf>
    <xf numFmtId="6" fontId="0" fillId="7" borderId="12" xfId="0" applyNumberForma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top" wrapText="1"/>
    </xf>
    <xf numFmtId="0" fontId="2" fillId="5" borderId="0" xfId="0" applyFont="1" applyFill="1" applyAlignment="1">
      <alignment horizontal="center" vertical="top" wrapText="1"/>
    </xf>
    <xf numFmtId="0" fontId="2" fillId="5" borderId="6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6" borderId="3" xfId="0" applyFont="1" applyFill="1" applyBorder="1" applyAlignment="1" applyProtection="1">
      <alignment horizontal="center"/>
      <protection locked="0"/>
    </xf>
    <xf numFmtId="0" fontId="2" fillId="6" borderId="4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8" fontId="0" fillId="0" borderId="16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L$20" noThreeD="1"/>
</file>

<file path=xl/ctrlProps/ctrlProp2.xml><?xml version="1.0" encoding="utf-8"?>
<formControlPr xmlns="http://schemas.microsoft.com/office/spreadsheetml/2009/9/main" objectType="CheckBox" fmlaLink="$L$22" lockText="1" noThreeD="1"/>
</file>

<file path=xl/ctrlProps/ctrlProp3.xml><?xml version="1.0" encoding="utf-8"?>
<formControlPr xmlns="http://schemas.microsoft.com/office/spreadsheetml/2009/9/main" objectType="CheckBox" fmlaLink="$L$24" lockText="1" noThreeD="1"/>
</file>

<file path=xl/ctrlProps/ctrlProp4.xml><?xml version="1.0" encoding="utf-8"?>
<formControlPr xmlns="http://schemas.microsoft.com/office/spreadsheetml/2009/9/main" objectType="CheckBox" fmlaLink="$L$26" lockText="1" noThreeD="1"/>
</file>

<file path=xl/ctrlProps/ctrlProp5.xml><?xml version="1.0" encoding="utf-8"?>
<formControlPr xmlns="http://schemas.microsoft.com/office/spreadsheetml/2009/9/main" objectType="CheckBox" fmlaLink="$L$28" lockText="1" noThreeD="1"/>
</file>

<file path=xl/ctrlProps/ctrlProp6.xml><?xml version="1.0" encoding="utf-8"?>
<formControlPr xmlns="http://schemas.microsoft.com/office/spreadsheetml/2009/9/main" objectType="Radio" checked="Checked" firstButton="1" fmlaLink="$L$31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133349</xdr:colOff>
      <xdr:row>0</xdr:row>
      <xdr:rowOff>57150</xdr:rowOff>
    </xdr:from>
    <xdr:to>
      <xdr:col>8</xdr:col>
      <xdr:colOff>465086</xdr:colOff>
      <xdr:row>2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599" y="57150"/>
          <a:ext cx="1649362" cy="8382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20</xdr:row>
          <xdr:rowOff>47625</xdr:rowOff>
        </xdr:from>
        <xdr:to>
          <xdr:col>0</xdr:col>
          <xdr:colOff>923925</xdr:colOff>
          <xdr:row>20</xdr:row>
          <xdr:rowOff>257175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20</xdr:row>
          <xdr:rowOff>257175</xdr:rowOff>
        </xdr:from>
        <xdr:to>
          <xdr:col>0</xdr:col>
          <xdr:colOff>571500</xdr:colOff>
          <xdr:row>22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21</xdr:row>
          <xdr:rowOff>190500</xdr:rowOff>
        </xdr:from>
        <xdr:to>
          <xdr:col>0</xdr:col>
          <xdr:colOff>581025</xdr:colOff>
          <xdr:row>22</xdr:row>
          <xdr:rowOff>200025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23</xdr:row>
          <xdr:rowOff>0</xdr:rowOff>
        </xdr:from>
        <xdr:to>
          <xdr:col>0</xdr:col>
          <xdr:colOff>561975</xdr:colOff>
          <xdr:row>23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25</xdr:row>
          <xdr:rowOff>28575</xdr:rowOff>
        </xdr:from>
        <xdr:to>
          <xdr:col>0</xdr:col>
          <xdr:colOff>1971675</xdr:colOff>
          <xdr:row>25</xdr:row>
          <xdr:rowOff>190500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0FFC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Please apply DEPOSIT towards tuition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1066800</xdr:colOff>
          <xdr:row>27</xdr:row>
          <xdr:rowOff>28575</xdr:rowOff>
        </xdr:from>
        <xdr:to>
          <xdr:col>0</xdr:col>
          <xdr:colOff>1971675</xdr:colOff>
          <xdr:row>27</xdr:row>
          <xdr:rowOff>200025</xdr:rowOff>
        </xdr:to>
        <xdr:sp macro="" textlink="">
          <xdr:nvSpPr>
            <xdr:cNvPr id="2090" name="Option Button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0FFC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Funding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28575</xdr:rowOff>
        </xdr:from>
        <xdr:to>
          <xdr:col>0</xdr:col>
          <xdr:colOff>1981200</xdr:colOff>
          <xdr:row>28</xdr:row>
          <xdr:rowOff>180975</xdr:rowOff>
        </xdr:to>
        <xdr:sp macro="" textlink="">
          <xdr:nvSpPr>
            <xdr:cNvPr id="2099" name="Option Button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0FFC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Reduce each quarter by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28575</xdr:rowOff>
        </xdr:from>
        <xdr:to>
          <xdr:col>0</xdr:col>
          <xdr:colOff>1076325</xdr:colOff>
          <xdr:row>27</xdr:row>
          <xdr:rowOff>200025</xdr:rowOff>
        </xdr:to>
        <xdr:sp macro="" textlink="">
          <xdr:nvSpPr>
            <xdr:cNvPr id="2108" name="Option Button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0FFC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Full Funding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omments" Target="../comments1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Q46"/>
  <sheetViews>
    <sheetView tabSelected="1" zoomScaleNormal="100" workbookViewId="0">
      <selection activeCell="B4" sqref="B4:E4"/>
    </sheetView>
  </sheetViews>
  <sheetFormatPr defaultRowHeight="15" x14ac:dyDescent="0.25"/>
  <cols>
    <col min="1" max="1" width="29.85546875" customWidth="1"/>
    <col min="2" max="2" width="10.85546875" bestFit="1" customWidth="1"/>
    <col min="3" max="3" width="10.85546875" customWidth="1"/>
    <col min="4" max="5" width="10.85546875" bestFit="1" customWidth="1"/>
    <col min="6" max="6" width="1" style="12" customWidth="1"/>
    <col min="7" max="7" width="10.140625" customWidth="1"/>
    <col min="8" max="8" width="9.5703125" customWidth="1"/>
    <col min="9" max="9" width="8.140625" customWidth="1"/>
    <col min="10" max="10" width="9.5703125" hidden="1" customWidth="1"/>
    <col min="11" max="11" width="0.140625" style="67" hidden="1" customWidth="1"/>
    <col min="12" max="12" width="8.5703125" style="68" hidden="1" customWidth="1"/>
    <col min="13" max="13" width="17.42578125" style="67" hidden="1" customWidth="1"/>
    <col min="14" max="14" width="0.140625" style="67" hidden="1" customWidth="1"/>
    <col min="15" max="15" width="25.42578125" style="67" hidden="1" customWidth="1"/>
    <col min="16" max="16" width="12.5703125" customWidth="1"/>
    <col min="17" max="17" width="61.85546875" customWidth="1"/>
  </cols>
  <sheetData>
    <row r="1" spans="1:17" ht="18.75" customHeight="1" x14ac:dyDescent="0.3">
      <c r="A1" s="109" t="s">
        <v>100</v>
      </c>
      <c r="B1" s="109"/>
      <c r="C1" s="109"/>
      <c r="D1" s="109"/>
      <c r="E1" s="109"/>
      <c r="F1" s="10"/>
      <c r="G1" s="109"/>
      <c r="H1" s="109"/>
      <c r="I1" s="109"/>
    </row>
    <row r="2" spans="1:17" ht="49.5" customHeight="1" x14ac:dyDescent="0.25">
      <c r="A2" s="125" t="s">
        <v>46</v>
      </c>
      <c r="B2" s="97"/>
      <c r="C2" s="97"/>
      <c r="D2" s="97"/>
      <c r="E2" s="97"/>
      <c r="F2" s="11"/>
      <c r="G2" s="109"/>
      <c r="H2" s="109"/>
      <c r="I2" s="109"/>
    </row>
    <row r="3" spans="1:17" ht="7.5" customHeight="1" thickBot="1" x14ac:dyDescent="0.3"/>
    <row r="4" spans="1:17" ht="16.5" thickTop="1" thickBot="1" x14ac:dyDescent="0.3">
      <c r="A4" s="3" t="s">
        <v>47</v>
      </c>
      <c r="B4" s="128" t="s">
        <v>89</v>
      </c>
      <c r="C4" s="128"/>
      <c r="D4" s="128"/>
      <c r="E4" s="129"/>
      <c r="F4" s="13"/>
      <c r="G4" s="110" t="s">
        <v>62</v>
      </c>
      <c r="H4" s="111"/>
      <c r="I4" s="112"/>
      <c r="K4" s="54" t="s">
        <v>87</v>
      </c>
      <c r="L4" s="55" t="s">
        <v>1</v>
      </c>
      <c r="M4" s="55" t="s">
        <v>2</v>
      </c>
      <c r="N4" s="55" t="s">
        <v>82</v>
      </c>
      <c r="O4" s="55" t="s">
        <v>4</v>
      </c>
    </row>
    <row r="5" spans="1:17" ht="16.5" customHeight="1" thickTop="1" thickBot="1" x14ac:dyDescent="0.3">
      <c r="A5" s="52" t="s">
        <v>30</v>
      </c>
      <c r="B5" s="46" t="s">
        <v>1</v>
      </c>
      <c r="C5" s="46" t="s">
        <v>2</v>
      </c>
      <c r="D5" s="46" t="s">
        <v>3</v>
      </c>
      <c r="E5" s="46" t="s">
        <v>4</v>
      </c>
      <c r="F5" s="10"/>
      <c r="G5" s="113"/>
      <c r="H5" s="114"/>
      <c r="I5" s="115"/>
      <c r="K5" s="54" t="s">
        <v>83</v>
      </c>
      <c r="L5" s="56">
        <f>((((B19+B21+B22+B28-(B26+B29+B32+B42/4+B43/4)-(I15-(I15*C38))))+((B19+B21+B22+B28-(B26++B29+B32+B42/4+B43/4)-(I15-(I15*C38)))/1-C40)-((B19+B21+B22+B28-(B26+B29+B32+B42/4+B43/4)-(I15-(I15*C38))))))/(1-C40)</f>
        <v>-4.4146514638934133E-2</v>
      </c>
      <c r="M5" s="56">
        <f>((((C19+C21+C22+C23+C24+C28-(C29+C32+B42/4+B43/4)-(I16-(I16*C38))))+((C19+C21+C22+C23+C24+C28-(C29+C32+B42/4+B43/4)-(I16-(I16*C38)))/1-C40)-((C19+C21+C22+C23+C24+C28-(C29+C32+B42/4+B43/4)-(I16-(I16*C38))))))/(1-C40)</f>
        <v>-4.4146514638934133E-2</v>
      </c>
      <c r="N5" s="56">
        <f>((((D19+D21+D22+D28-(D29+D32+B42/4+B43/4)-(I17-(I17*C38))))+((D19+D21+D22+D28-(D29+D32+B42/4+B43/4)-(I17-(I17*C38)))/1-C40)-((D19+D21+D22+D28-(D29+D32+B42/4+B43/4)-(I17-(I17*C38)))))/(1-C40))</f>
        <v>-4.4146514638934133E-2</v>
      </c>
      <c r="O5" s="56">
        <f>((((E19+E21+E22+E28-(E29+E32+B42/4+B43/4)-(I18-(I18*C39))))+((E19+E21+E22+E28-(E29+E32+B42/4+B43/4)-(I18-(I18*C39)))/1-C41)-((E19+E21+E22+E28-(E29+E32+B42/4+B43/4)-(I18-(I18*C39)))))/(1-C41))</f>
        <v>-4.4146514638934133E-2</v>
      </c>
    </row>
    <row r="6" spans="1:17" ht="16.5" customHeight="1" thickTop="1" thickBot="1" x14ac:dyDescent="0.3">
      <c r="A6" s="4" t="s">
        <v>6</v>
      </c>
      <c r="B6" s="5">
        <f>VLOOKUP($B$4,Sheet2!$A$1:$BP$10,2,FALSE)</f>
        <v>0</v>
      </c>
      <c r="C6" s="5">
        <f>VLOOKUP($B$4,Sheet2!$A$1:$BP$10,3,FALSE)</f>
        <v>0</v>
      </c>
      <c r="D6" s="5">
        <f>VLOOKUP($B$4,Sheet2!$A$1:$BP$10,4,FALSE)</f>
        <v>0</v>
      </c>
      <c r="E6" s="5">
        <f>VLOOKUP($B$4,Sheet2!$A$1:$BP$10,5,FALSE)</f>
        <v>0</v>
      </c>
      <c r="F6" s="14"/>
      <c r="G6" s="116" t="s">
        <v>63</v>
      </c>
      <c r="H6" s="117"/>
      <c r="I6" s="118"/>
      <c r="K6" s="54" t="s">
        <v>84</v>
      </c>
      <c r="L6" s="56">
        <f>((((B19+B21+B22+B28-(B26+B29+B32+B42/4+B43/4)-(I15-(I15*C38))))+((B19+B21+B22+B28-(B26++B29+B32+B42/4+B43/4)-(I15-(I15*C38)))/1-C40)-((B19+B21+B22+B28-(B26+B29+B32+B42/4+B43/4)-(I15-(I15*C38))))))/(1-C40)</f>
        <v>-4.4146514638934133E-2</v>
      </c>
      <c r="M6" s="56">
        <f>((((C19+C21+C22+C23+C24+C28-(C29+C32+B42/4+B43/4)-(I16-(I16*C38))))+((C19+C21+C22+C23+C24+C28-(C29+C32+B42/4+B43/4)-(I16-(I16*C38)))/1-C40)-((C19+C21+C22+C23+C24+C28-(C29+C32+B42/4+B43/4)-(I16-(I16*C38))))))/(1-C40)</f>
        <v>-4.4146514638934133E-2</v>
      </c>
      <c r="N6" s="56">
        <f>((((D19+D21+D22+D28-(D29+D32+B42/4+B43/4)-(I17-(I17*C39))))+((D19+D21+D22+D28-(D29+D32+B42/4+B43/4)-(I17-(I17*C39)))/1-C41)-((D19+D21+D22+D28-(D29+D32+B42/4+B43/4)-(I17-(I17*C39)))))/(1-C41))</f>
        <v>-4.4146514638934133E-2</v>
      </c>
      <c r="O6" s="56">
        <f>((((E19+E21+E22+E28-(E29+E32+B42/4+B43/4)-(I18-(I18*C39))))+((E19+E21+E22+E28-(E29+E32+B42/4+B43/4)-(I18-(I18*C39)))/1-C41)-((E19+E21+E22+E28-(E29+E32+B42/4+B43/4)-(I18-(I18*C39)))))/(1-C41))</f>
        <v>-4.4146514638934133E-2</v>
      </c>
    </row>
    <row r="7" spans="1:17" ht="16.5" thickTop="1" thickBot="1" x14ac:dyDescent="0.3">
      <c r="A7" s="4" t="s">
        <v>5</v>
      </c>
      <c r="B7" s="5">
        <f>VLOOKUP($B$4,Sheet2!$A$1:$BP$10,6,FALSE)</f>
        <v>0</v>
      </c>
      <c r="C7" s="5">
        <f>VLOOKUP($B$4,Sheet2!$A$1:$BP$10,7,FALSE)</f>
        <v>0</v>
      </c>
      <c r="D7" s="5">
        <f>VLOOKUP($B$4,Sheet2!$A$1:$BP$10,8,FALSE)</f>
        <v>0</v>
      </c>
      <c r="E7" s="5">
        <f>VLOOKUP($B$4,Sheet2!$A$1:$BP$10,9,FALSE)</f>
        <v>0</v>
      </c>
      <c r="F7" s="14"/>
      <c r="G7" s="116"/>
      <c r="H7" s="117"/>
      <c r="I7" s="118"/>
      <c r="K7" s="54" t="s">
        <v>85</v>
      </c>
      <c r="L7" s="56">
        <f>((((B19+B21+B22+B28-(B26+B29+B32+B42/4+B43/4)-(I15-(I15*C38))))+((B19+B21+B22+B28-(B26++B29+B32+B42/4+B43/4)-(I15-(I15*C38)))/1-C40)-((B19+B21+B22+B28-(B26+B29+B32+B42/4+B43/4)-(I15-(I15*C38))))))/(1-C40)</f>
        <v>-4.4146514638934133E-2</v>
      </c>
      <c r="M7" s="56">
        <f>((((C19+C21+C22+C23+C24+C28-(C29+C32+B42/4+B43/4)-(I16-(I16*C39))))+((C19+C21+C22+C23+C24+C28-(C29+C32+B42/4+B43/4)-(I16-(I16*C39)))/1-C41)-((C19+C21+C22+C23+C24+C28-(C29+C32+B42/4+B43/4)-(I16-(I16*C39))))))/(1-C41)</f>
        <v>-4.4146514638934133E-2</v>
      </c>
      <c r="N7" s="56">
        <f>((((D19+D21+D22+D28-(D29+D32+B42/4+B43/4)-(I17-(I17*C39))))+((D19+D21+D22+D28-(D29+D32+B42/4+B43/4)-(I17-(I17*C39)))/1-C41)-((D19+D21+D22+D28-(D29+D32+B42/4+B43/4)-(I17-(I17*C39)))))/(1-C41))</f>
        <v>-4.4146514638934133E-2</v>
      </c>
      <c r="O7" s="56">
        <f>((((E19+E21+E22+E28-(E29+E32+B42/4+B43/4)-(I18-(I18*C39))))+((E19+E21+E22+E28-(E29+E32+B42/4+B43/4)-(I18-(I18*C39)))/1-C41)-((E19+E21+E22+E28-(E29+E32+B42/4+B43/4)-(I18-(I18*C39)))))/(1-C41))</f>
        <v>-4.4146514638934133E-2</v>
      </c>
    </row>
    <row r="8" spans="1:17" ht="16.5" thickTop="1" thickBot="1" x14ac:dyDescent="0.3">
      <c r="A8" s="4" t="s">
        <v>7</v>
      </c>
      <c r="B8" s="5">
        <f>VLOOKUP($B$4,Sheet2!$A$1:$BP$10,10,FALSE)</f>
        <v>0</v>
      </c>
      <c r="C8" s="5">
        <f>VLOOKUP($B$4,Sheet2!$A$1:$BP$10,11,FALSE)</f>
        <v>0</v>
      </c>
      <c r="D8" s="5">
        <f>VLOOKUP($B$4,Sheet2!$A$1:$BP$10,12,FALSE)</f>
        <v>0</v>
      </c>
      <c r="E8" s="5">
        <f>VLOOKUP($B$4,Sheet2!$A$1:$BP$10,13,FALSE)</f>
        <v>0</v>
      </c>
      <c r="F8" s="14"/>
      <c r="G8" s="116"/>
      <c r="H8" s="117"/>
      <c r="I8" s="118"/>
      <c r="K8" s="54" t="s">
        <v>86</v>
      </c>
      <c r="L8" s="56">
        <f>((((B19+B21+B22+B28-(B26+B29+B32+B42+B43)-(I15-(I15*C38))))+((B19+B21+B22+B28-(B26++B29+B32+B42+B43)-(I15-(I15*C38)))/1-C40)-((B19+B21+B22+B28-(B26+B29+B32+B42+B43)-(I15-(I15*C38))))))/(1-C40)</f>
        <v>-4.4146514638934133E-2</v>
      </c>
      <c r="M8" s="56"/>
      <c r="N8" s="56"/>
      <c r="O8" s="56"/>
    </row>
    <row r="9" spans="1:17" ht="16.5" thickTop="1" thickBot="1" x14ac:dyDescent="0.3">
      <c r="A9" s="4" t="s">
        <v>8</v>
      </c>
      <c r="B9" s="5">
        <f>VLOOKUP($B$4,Sheet2!$A$1:$BP$10,14,FALSE)</f>
        <v>0</v>
      </c>
      <c r="C9" s="5">
        <f>VLOOKUP($B$4,Sheet2!$A$1:$BP$10,15,FALSE)</f>
        <v>0</v>
      </c>
      <c r="D9" s="5">
        <f>VLOOKUP($B$4,Sheet2!$A$1:$BP$10,16,FALSE)</f>
        <v>0</v>
      </c>
      <c r="E9" s="5">
        <f>VLOOKUP($B$4,Sheet2!$A$1:$BP$10,17,FALSE)</f>
        <v>0</v>
      </c>
      <c r="F9" s="14"/>
      <c r="G9" s="116"/>
      <c r="H9" s="117"/>
      <c r="I9" s="118"/>
      <c r="K9" s="57"/>
      <c r="L9" s="58"/>
      <c r="M9" s="57"/>
      <c r="N9" s="57"/>
      <c r="O9" s="57"/>
    </row>
    <row r="10" spans="1:17" ht="16.5" thickTop="1" thickBot="1" x14ac:dyDescent="0.3">
      <c r="A10" s="4" t="s">
        <v>9</v>
      </c>
      <c r="B10" s="5">
        <f>VLOOKUP($B$4,Sheet2!$A$1:$BP$10,18,FALSE)</f>
        <v>0</v>
      </c>
      <c r="C10" s="5">
        <f>VLOOKUP($B$4,Sheet2!$A$1:$BP$10,19,FALSE)</f>
        <v>0</v>
      </c>
      <c r="D10" s="5">
        <f>VLOOKUP($B$4,Sheet2!$A$1:$BP$10,20,FALSE)</f>
        <v>0</v>
      </c>
      <c r="E10" s="5">
        <f>VLOOKUP($B$4,Sheet2!$A$1:$BP$10,21,FALSE)</f>
        <v>0</v>
      </c>
      <c r="F10" s="14"/>
      <c r="G10" s="119"/>
      <c r="H10" s="120"/>
      <c r="I10" s="121"/>
    </row>
    <row r="11" spans="1:17" ht="16.5" thickTop="1" thickBot="1" x14ac:dyDescent="0.3">
      <c r="A11" s="4" t="s">
        <v>10</v>
      </c>
      <c r="B11" s="5">
        <f>VLOOKUP($B$4,Sheet2!$A$1:$BP$10,22,FALSE)</f>
        <v>0</v>
      </c>
      <c r="C11" s="5">
        <f>VLOOKUP($B$4,Sheet2!$A$1:$BP$10,23,FALSE)</f>
        <v>0</v>
      </c>
      <c r="D11" s="5">
        <f>VLOOKUP($B$4,Sheet2!$A$1:$BP$10,24,FALSE)</f>
        <v>0</v>
      </c>
      <c r="E11" s="5">
        <f>VLOOKUP($B$4,Sheet2!$A$1:$BP$10,25,FALSE)</f>
        <v>0</v>
      </c>
      <c r="F11" s="14"/>
      <c r="G11" s="122" t="s">
        <v>64</v>
      </c>
      <c r="H11" s="123"/>
      <c r="I11" s="124"/>
      <c r="Q11" t="s">
        <v>93</v>
      </c>
    </row>
    <row r="12" spans="1:17" ht="16.5" thickTop="1" thickBot="1" x14ac:dyDescent="0.3">
      <c r="A12" s="4" t="s">
        <v>11</v>
      </c>
      <c r="B12" s="5">
        <f>VLOOKUP($B$4,Sheet2!$A$1:$BP$10,26,FALSE)</f>
        <v>0</v>
      </c>
      <c r="C12" s="5">
        <f>VLOOKUP($B$4,Sheet2!$A$1:$BP$10,27,FALSE)</f>
        <v>0</v>
      </c>
      <c r="D12" s="5">
        <f>VLOOKUP($B$4,Sheet2!$A$1:$BP$10,28,FALSE)</f>
        <v>0</v>
      </c>
      <c r="E12" s="5">
        <f>VLOOKUP($B$4,Sheet2!$A$1:$BP$10,29,FALSE)</f>
        <v>0</v>
      </c>
      <c r="F12" s="14"/>
      <c r="G12" s="122"/>
      <c r="H12" s="123"/>
      <c r="I12" s="124"/>
      <c r="Q12" t="s">
        <v>95</v>
      </c>
    </row>
    <row r="13" spans="1:17" ht="16.5" thickTop="1" thickBot="1" x14ac:dyDescent="0.3">
      <c r="A13" s="4" t="s">
        <v>12</v>
      </c>
      <c r="B13" s="5">
        <f>VLOOKUP($B$4,Sheet2!$A$1:$BP$10,30,FALSE)</f>
        <v>0</v>
      </c>
      <c r="C13" s="5">
        <f>VLOOKUP($B$4,Sheet2!$A$1:$BP$10,31,FALSE)</f>
        <v>0</v>
      </c>
      <c r="D13" s="5">
        <f>VLOOKUP($B$4,Sheet2!$A$1:$BP$10,32,FALSE)</f>
        <v>0</v>
      </c>
      <c r="E13" s="5">
        <f>VLOOKUP($B$4,Sheet2!$A$1:$BP$10,33,FALSE)</f>
        <v>0</v>
      </c>
      <c r="F13" s="14"/>
      <c r="G13" s="127" t="s">
        <v>37</v>
      </c>
      <c r="H13" s="127"/>
      <c r="I13" s="31" t="s">
        <v>45</v>
      </c>
      <c r="Q13" t="s">
        <v>94</v>
      </c>
    </row>
    <row r="14" spans="1:17" ht="16.5" thickTop="1" thickBot="1" x14ac:dyDescent="0.3">
      <c r="A14" s="4" t="s">
        <v>13</v>
      </c>
      <c r="B14" s="5">
        <f>VLOOKUP($B$4,Sheet2!$A$1:$BP$10,34,FALSE)</f>
        <v>0</v>
      </c>
      <c r="C14" s="5">
        <f>VLOOKUP($B$4,Sheet2!$A$1:$BP$10,35,FALSE)</f>
        <v>0</v>
      </c>
      <c r="D14" s="5">
        <f>VLOOKUP($B$4,Sheet2!$A$1:$BP$10,36,FALSE)</f>
        <v>0</v>
      </c>
      <c r="E14" s="5">
        <f>VLOOKUP($B$4,Sheet2!$A$1:$BP$10,37,FALSE)</f>
        <v>0</v>
      </c>
      <c r="F14" s="14"/>
      <c r="G14" s="28" t="s">
        <v>65</v>
      </c>
      <c r="H14" s="29"/>
      <c r="I14" s="30"/>
    </row>
    <row r="15" spans="1:17" ht="16.5" thickTop="1" thickBot="1" x14ac:dyDescent="0.3">
      <c r="A15" s="4" t="s">
        <v>14</v>
      </c>
      <c r="B15" s="5">
        <f>VLOOKUP($B$4,Sheet2!$A$1:$BP$10,38,FALSE)</f>
        <v>0</v>
      </c>
      <c r="C15" s="5">
        <f>VLOOKUP($B$4,Sheet2!$A$1:$BP$10,39,FALSE)</f>
        <v>0</v>
      </c>
      <c r="D15" s="5">
        <f>VLOOKUP($B$4,Sheet2!$A$1:$BP$10,40,FALSE)</f>
        <v>0</v>
      </c>
      <c r="E15" s="5">
        <f>VLOOKUP($B$4,Sheet2!$A$1:$BP$10,41,FALSE)</f>
        <v>0</v>
      </c>
      <c r="F15" s="14"/>
      <c r="G15" s="126" t="s">
        <v>38</v>
      </c>
      <c r="H15" s="126"/>
      <c r="I15" s="43">
        <f>IF(B4="DDS Year 1",B38/3,IF(B4="DDS Year 2",B38/2,IF(B4="DDS Year 3",B38,IF(B4="IDS YEAR 1",B38/3,IF(B4="IDS Year 2",B38/2,IF(B4="ORTHO/ENDO Year 1",B38/3,IF(B4="ORTHO/ENDO Year 2",B38/2,IF(B4="ORTHO/ENDO YEAR 3 (SUMMER)",B38,0))))))))</f>
        <v>0</v>
      </c>
      <c r="Q15" t="s">
        <v>96</v>
      </c>
    </row>
    <row r="16" spans="1:17" ht="16.5" thickTop="1" thickBot="1" x14ac:dyDescent="0.3">
      <c r="A16" s="4" t="s">
        <v>15</v>
      </c>
      <c r="B16" s="5">
        <f>VLOOKUP($B$4,Sheet2!$A$1:$BP$10,42,FALSE)</f>
        <v>0</v>
      </c>
      <c r="C16" s="5">
        <f>VLOOKUP($B$4,Sheet2!$A$1:$BP$10,43,FALSE)</f>
        <v>0</v>
      </c>
      <c r="D16" s="5">
        <f>VLOOKUP($B$4,Sheet2!$A$1:$BP$10,44,FALSE)</f>
        <v>0</v>
      </c>
      <c r="E16" s="5">
        <f>VLOOKUP($B$4,Sheet2!$A$1:$BP$10,45,FALSE)</f>
        <v>0</v>
      </c>
      <c r="F16" s="14"/>
      <c r="G16" s="126" t="s">
        <v>39</v>
      </c>
      <c r="H16" s="126"/>
      <c r="I16" s="43">
        <f>IF(B4="DDS Year 1",B38/3,IF(B4="DDS Year 2",B38/2,IF(B4="DDS Year 3",B38,IF(B4="IDS YEAR 1",B38/3,IF(B4="IDS Year 2",B38/2,IF(B4="ORTHO/ENDO Year 1",B38/3,IF(B4="ORTHO/ENDO Year 2",B38/2,IF(B4="ORTHO/ENDO YEAR 3 (SUMMER)",B38,0))))))))</f>
        <v>0</v>
      </c>
      <c r="Q16" t="s">
        <v>97</v>
      </c>
    </row>
    <row r="17" spans="1:17" ht="18" customHeight="1" thickTop="1" thickBot="1" x14ac:dyDescent="0.3">
      <c r="A17" s="4" t="s">
        <v>16</v>
      </c>
      <c r="B17" s="5">
        <f>VLOOKUP($B$4,Sheet2!$A$1:$BP$10,46,FALSE)</f>
        <v>0</v>
      </c>
      <c r="C17" s="5">
        <f>VLOOKUP($B$4,Sheet2!$A$1:$BP$10,47,FALSE)</f>
        <v>0</v>
      </c>
      <c r="D17" s="5">
        <f>VLOOKUP($B$4,Sheet2!$A$1:$BP$10,48,FALSE)</f>
        <v>0</v>
      </c>
      <c r="E17" s="5">
        <f>VLOOKUP($B$4,Sheet2!$A$1:$BP$10,49,FALSE)</f>
        <v>0</v>
      </c>
      <c r="F17" s="14"/>
      <c r="G17" s="126" t="s">
        <v>40</v>
      </c>
      <c r="H17" s="126"/>
      <c r="I17" s="43">
        <f>IF(B4="DDS Year 1",B38/3,IF(B4="DDS Year 2",B38/2,IF(B4="DDS Year 3",B39/3,IF(B4="IDS YEAR 1",B38/3,IF(B4="IDS Year 2",B39/2,IF(B4="ORTHO/ENDO Year 1",B38/3,IF(B4="ORTHO/ENDO Year 2",B39/2,IF(B4="ORTHO/ENDO YEAR 3 (SUMMER)",0,0))))))))</f>
        <v>0</v>
      </c>
      <c r="Q17" t="s">
        <v>98</v>
      </c>
    </row>
    <row r="18" spans="1:17" ht="16.5" thickTop="1" thickBot="1" x14ac:dyDescent="0.3">
      <c r="A18" s="4" t="s">
        <v>17</v>
      </c>
      <c r="B18" s="5">
        <f>VLOOKUP($B$4,Sheet2!$A$1:$BP$10,50,FALSE)</f>
        <v>0</v>
      </c>
      <c r="C18" s="5">
        <f>VLOOKUP($B$4,Sheet2!$A$1:$BP$10,51,FALSE)</f>
        <v>0</v>
      </c>
      <c r="D18" s="5">
        <f>VLOOKUP($B$4,Sheet2!$A$1:$BP$10,52,FALSE)</f>
        <v>0</v>
      </c>
      <c r="E18" s="5">
        <f>VLOOKUP($B$4,Sheet2!$A$1:$BP$10,53,FALSE)</f>
        <v>0</v>
      </c>
      <c r="F18" s="14"/>
      <c r="G18" s="126" t="s">
        <v>41</v>
      </c>
      <c r="H18" s="126"/>
      <c r="I18" s="43">
        <f>IF(B4="DDS Year 1",B39,IF(B4="DDS Year 2",B39/2,IF(B4="DDS Year 3",B39/3,IF(B4="IDS YEAR 1",B39,IF(B4="IDS Year 2",B39/2,IF(B4="ORTHO/ENDO YEAR 1",B39,IF(B4="ORTHO/ENDO YEAR 2",B39/2,IF(B4="ORTHO/ENDO YEAR 3 (SUMMER)",B39,0))))))))</f>
        <v>0</v>
      </c>
      <c r="Q18" t="s">
        <v>99</v>
      </c>
    </row>
    <row r="19" spans="1:17" ht="16.5" thickTop="1" thickBot="1" x14ac:dyDescent="0.3">
      <c r="A19" s="23" t="s">
        <v>35</v>
      </c>
      <c r="B19" s="24">
        <f>SUM(B6:B18)</f>
        <v>0</v>
      </c>
      <c r="C19" s="24">
        <f t="shared" ref="C19:E19" si="0">SUM(C6:C18)</f>
        <v>0</v>
      </c>
      <c r="D19" s="24">
        <f t="shared" si="0"/>
        <v>0</v>
      </c>
      <c r="E19" s="24">
        <f t="shared" si="0"/>
        <v>0</v>
      </c>
      <c r="F19" s="15"/>
      <c r="G19" s="130" t="s">
        <v>42</v>
      </c>
      <c r="H19" s="131"/>
      <c r="I19" s="44"/>
    </row>
    <row r="20" spans="1:17" ht="16.5" thickTop="1" thickBot="1" x14ac:dyDescent="0.3">
      <c r="A20" s="106" t="s">
        <v>48</v>
      </c>
      <c r="B20" s="107"/>
      <c r="C20" s="107"/>
      <c r="D20" s="107"/>
      <c r="E20" s="108"/>
      <c r="F20" s="10"/>
      <c r="G20" s="126" t="s">
        <v>38</v>
      </c>
      <c r="H20" s="126"/>
      <c r="I20" s="43">
        <f>IF(B4="DDS Year 1",L5,IF(B4="DDS Year 2",L6,IF(B4="DDS Year 3",L7,IF(B4="IDS YEAR 1",L5,IF(B4="IDS Year 2",L6,IF(B4="ORTHO/ENDO Year 1",L5,IF(B4="ORTHO/ENDO Year 2",L6,IF(B4="ORTHO/ENDO YEAR 3 (SUMMER)",L8,0))))))))</f>
        <v>0</v>
      </c>
      <c r="K20" s="59" t="s">
        <v>74</v>
      </c>
      <c r="L20" s="60" t="b">
        <v>0</v>
      </c>
      <c r="M20" s="61"/>
      <c r="N20" s="61"/>
    </row>
    <row r="21" spans="1:17" s="2" customFormat="1" ht="22.5" customHeight="1" thickTop="1" thickBot="1" x14ac:dyDescent="0.3">
      <c r="A21" s="70" t="s">
        <v>73</v>
      </c>
      <c r="B21" s="48">
        <f>IF(L20,K21,0)</f>
        <v>0</v>
      </c>
      <c r="C21" s="48">
        <f>IF(L20,L21,0)</f>
        <v>0</v>
      </c>
      <c r="D21" s="48">
        <f>IF(L20,M21,0)</f>
        <v>0</v>
      </c>
      <c r="E21" s="48">
        <f>IF(L20,N21,0)</f>
        <v>0</v>
      </c>
      <c r="F21" s="16"/>
      <c r="G21" s="126" t="s">
        <v>39</v>
      </c>
      <c r="H21" s="126"/>
      <c r="I21" s="43">
        <f>IF(B4="DDS Year 1",M5,IF(B4="DDS Year 2",M6,IF(B4="DDS Year 3",M7,IF(B4="IDS YEAR 1",M5,IF(B4="IDS Year 2",M6,IF(B4="ORTHO/ENDO Year 1",M5,IF(B4="ORTHO/ENDO Year 2",M6,IF(B4="ORTHO/ENDO YEAR 3 (SUMMER)",M8,0))))))))</f>
        <v>0</v>
      </c>
      <c r="K21" s="62">
        <f>VLOOKUP($B$4,Sheet2!$A$1:$BP$10,55,FALSE)</f>
        <v>0</v>
      </c>
      <c r="L21" s="63">
        <f>VLOOKUP($B$4,Sheet2!$A$1:$BP$10,56,FALSE)</f>
        <v>0</v>
      </c>
      <c r="M21" s="62">
        <f>VLOOKUP($B$4,Sheet2!$A$1:$BP$10,57,FALSE)</f>
        <v>0</v>
      </c>
      <c r="N21" s="62">
        <f>VLOOKUP($B$4,Sheet2!$A$1:$BP$10,58,FALSE)</f>
        <v>0</v>
      </c>
      <c r="O21" s="69"/>
    </row>
    <row r="22" spans="1:17" ht="16.5" thickTop="1" thickBot="1" x14ac:dyDescent="0.3">
      <c r="A22" s="70" t="s">
        <v>43</v>
      </c>
      <c r="B22" s="48">
        <f>IF(L22,K23,0)</f>
        <v>0</v>
      </c>
      <c r="C22" s="48">
        <f>IF(L22,L23,0)</f>
        <v>0</v>
      </c>
      <c r="D22" s="48">
        <f>IF(L22,M23,0)</f>
        <v>0</v>
      </c>
      <c r="E22" s="48">
        <f>IF(L22,N23,0)</f>
        <v>0</v>
      </c>
      <c r="F22" s="16"/>
      <c r="G22" s="126" t="s">
        <v>40</v>
      </c>
      <c r="H22" s="126"/>
      <c r="I22" s="53">
        <f>IF(B4="DDS Year 1",N5,IF(B4="DDS Year 2",N6,IF(B4="DDS Year 3",N7,IF(B4="IDS YEAR 1",N5,IF(B4="IDS Year 2",N6,IF(B4="ORTHO/ENDO Year 1",N5,IF(B4="ORTHO/ENDO Year 2",N6,IF(B4="ORTHO/ENDO YEAR 3 (SUMMER)",N8,0))))))))</f>
        <v>0</v>
      </c>
      <c r="K22" s="59" t="s">
        <v>75</v>
      </c>
      <c r="L22" s="60" t="b">
        <v>0</v>
      </c>
      <c r="M22" s="61"/>
      <c r="N22" s="61"/>
    </row>
    <row r="23" spans="1:17" ht="16.5" thickTop="1" thickBot="1" x14ac:dyDescent="0.3">
      <c r="A23" s="70" t="s">
        <v>44</v>
      </c>
      <c r="B23" s="6"/>
      <c r="C23" s="48">
        <f>IF(L24,L25,0)</f>
        <v>0</v>
      </c>
      <c r="D23" s="6"/>
      <c r="E23" s="6"/>
      <c r="F23" s="17"/>
      <c r="G23" s="126" t="s">
        <v>41</v>
      </c>
      <c r="H23" s="126"/>
      <c r="I23" s="43">
        <f>IF(B4="DDS Year 1",O5,IF(B4="DDS Year 2",O6,IF(B4="DDS Year 3",O7,IF(B4="IDS YEAR 1",O5,IF(B4="IDS Year 2",O6,IF(B4="ORTHO/ENDO Year 1",O5,IF(B4="ORTHO/ENDO Year 2",O6,IF(B4="ORTHO/ENDO YEAR 3 (SUMMER)",O8,0))))))))</f>
        <v>0</v>
      </c>
      <c r="K23" s="64">
        <f>VLOOKUP($B$4,Sheet2!$A$1:$BP$10,59,FALSE)</f>
        <v>0</v>
      </c>
      <c r="L23" s="65">
        <f>VLOOKUP($B$4,Sheet2!$A$1:$BP$10,60,FALSE)</f>
        <v>0</v>
      </c>
      <c r="M23" s="64">
        <f>VLOOKUP($B$4,Sheet2!$A$1:$BP$10,61,FALSE)</f>
        <v>0</v>
      </c>
      <c r="N23" s="64">
        <f>VLOOKUP($B$4,Sheet2!$A$1:$BP$10,62,FALSE)</f>
        <v>0</v>
      </c>
    </row>
    <row r="24" spans="1:17" ht="19.5" customHeight="1" thickTop="1" thickBot="1" x14ac:dyDescent="0.3">
      <c r="A24" s="70" t="s">
        <v>32</v>
      </c>
      <c r="B24" s="6"/>
      <c r="C24" s="48">
        <f>IF(L26,L27,0)</f>
        <v>0</v>
      </c>
      <c r="D24" s="6"/>
      <c r="E24" s="6"/>
      <c r="F24" s="17"/>
      <c r="G24" s="12"/>
      <c r="H24" s="32"/>
      <c r="I24" s="32"/>
      <c r="K24" s="59" t="s">
        <v>76</v>
      </c>
      <c r="L24" s="60" t="b">
        <v>0</v>
      </c>
      <c r="M24" s="61"/>
      <c r="N24" s="61"/>
    </row>
    <row r="25" spans="1:17" ht="18.75" customHeight="1" thickTop="1" thickBot="1" x14ac:dyDescent="0.3">
      <c r="A25" s="90" t="s">
        <v>49</v>
      </c>
      <c r="B25" s="91"/>
      <c r="C25" s="91"/>
      <c r="D25" s="91"/>
      <c r="E25" s="92"/>
      <c r="F25" s="18"/>
      <c r="G25" s="84" t="s">
        <v>67</v>
      </c>
      <c r="H25" s="85"/>
      <c r="I25" s="86"/>
      <c r="K25" s="61"/>
      <c r="L25" s="66">
        <f>VLOOKUP($B$4,Sheet2!$A$1:$BP$10,63,FALSE)</f>
        <v>0</v>
      </c>
      <c r="M25" s="61"/>
      <c r="N25" s="61"/>
    </row>
    <row r="26" spans="1:17" ht="16.5" customHeight="1" thickTop="1" thickBot="1" x14ac:dyDescent="0.3">
      <c r="A26" s="7" t="s">
        <v>78</v>
      </c>
      <c r="B26" s="49">
        <v>0</v>
      </c>
      <c r="C26" s="6"/>
      <c r="D26" s="6"/>
      <c r="E26" s="6"/>
      <c r="F26" s="17"/>
      <c r="G26" s="87"/>
      <c r="H26" s="88"/>
      <c r="I26" s="89"/>
      <c r="K26" s="59" t="s">
        <v>77</v>
      </c>
      <c r="L26" s="60" t="b">
        <v>0</v>
      </c>
      <c r="M26" s="61"/>
      <c r="N26" s="61"/>
    </row>
    <row r="27" spans="1:17" ht="16.5" thickTop="1" thickBot="1" x14ac:dyDescent="0.3">
      <c r="A27" s="75" t="s">
        <v>72</v>
      </c>
      <c r="B27" s="76"/>
      <c r="C27" s="76"/>
      <c r="D27" s="76"/>
      <c r="E27" s="77"/>
      <c r="F27" s="19"/>
      <c r="G27" s="87"/>
      <c r="H27" s="88"/>
      <c r="I27" s="89"/>
      <c r="K27" s="61"/>
      <c r="L27" s="66">
        <f>VLOOKUP($B$4,Sheet2!$A$1:$BP$10,64,FALSE)</f>
        <v>0</v>
      </c>
      <c r="M27" s="61"/>
      <c r="N27" s="61"/>
    </row>
    <row r="28" spans="1:17" ht="16.5" thickTop="1" thickBot="1" x14ac:dyDescent="0.3">
      <c r="A28" s="71" t="s">
        <v>80</v>
      </c>
      <c r="B28" s="48">
        <f>IF(L31=1,K32,K33)</f>
        <v>0</v>
      </c>
      <c r="C28" s="48">
        <f>IF(L31=1,L32,L33)</f>
        <v>0</v>
      </c>
      <c r="D28" s="48">
        <f>IF(L31=1,M32,M33)</f>
        <v>0</v>
      </c>
      <c r="E28" s="48">
        <f>IF(L31=1,N32,N33)</f>
        <v>0</v>
      </c>
      <c r="F28" s="16"/>
      <c r="G28" s="93" t="s">
        <v>71</v>
      </c>
      <c r="H28" s="94"/>
      <c r="I28" s="95"/>
      <c r="K28" s="59" t="s">
        <v>79</v>
      </c>
      <c r="L28" s="60" t="b">
        <v>0</v>
      </c>
      <c r="M28" s="61"/>
      <c r="N28" s="61"/>
    </row>
    <row r="29" spans="1:17" ht="16.5" thickTop="1" thickBot="1" x14ac:dyDescent="0.3">
      <c r="A29" s="47"/>
      <c r="B29" s="50"/>
      <c r="C29" s="50"/>
      <c r="D29" s="50"/>
      <c r="E29" s="50"/>
      <c r="F29" s="16"/>
      <c r="G29" s="93"/>
      <c r="H29" s="94"/>
      <c r="I29" s="95"/>
      <c r="K29" s="59"/>
      <c r="L29" s="60"/>
      <c r="M29" s="61"/>
      <c r="N29" s="61"/>
    </row>
    <row r="30" spans="1:17" ht="16.5" thickTop="1" thickBot="1" x14ac:dyDescent="0.3">
      <c r="A30" s="75" t="s">
        <v>88</v>
      </c>
      <c r="B30" s="76"/>
      <c r="C30" s="76"/>
      <c r="D30" s="76"/>
      <c r="E30" s="77"/>
      <c r="F30" s="20"/>
      <c r="G30" s="93"/>
      <c r="H30" s="94"/>
      <c r="I30" s="95"/>
      <c r="K30" s="61">
        <f>VLOOKUP($B$4,Sheet2!$A$1:$BP$10,54,FALSE)</f>
        <v>0</v>
      </c>
      <c r="L30" s="66"/>
      <c r="M30" s="61"/>
      <c r="N30" s="61"/>
    </row>
    <row r="31" spans="1:17" ht="16.5" customHeight="1" thickTop="1" thickBot="1" x14ac:dyDescent="0.3">
      <c r="A31" s="8"/>
      <c r="B31" s="9" t="s">
        <v>1</v>
      </c>
      <c r="C31" s="9" t="s">
        <v>2</v>
      </c>
      <c r="D31" s="9" t="s">
        <v>3</v>
      </c>
      <c r="E31" s="9" t="s">
        <v>4</v>
      </c>
      <c r="F31" s="21"/>
      <c r="G31" s="93"/>
      <c r="H31" s="94"/>
      <c r="I31" s="95"/>
      <c r="K31" s="59" t="s">
        <v>81</v>
      </c>
      <c r="L31" s="61">
        <v>1</v>
      </c>
      <c r="M31" s="61"/>
      <c r="N31" s="61"/>
    </row>
    <row r="32" spans="1:17" ht="17.25" customHeight="1" thickTop="1" thickBot="1" x14ac:dyDescent="0.3">
      <c r="A32" s="4" t="s">
        <v>33</v>
      </c>
      <c r="B32" s="51"/>
      <c r="C32" s="51"/>
      <c r="D32" s="51"/>
      <c r="E32" s="51"/>
      <c r="F32" s="14"/>
      <c r="G32" s="93" t="s">
        <v>68</v>
      </c>
      <c r="H32" s="94"/>
      <c r="I32" s="95"/>
      <c r="K32" s="61">
        <v>0</v>
      </c>
      <c r="L32" s="66">
        <v>0</v>
      </c>
      <c r="M32" s="61">
        <v>0</v>
      </c>
      <c r="N32" s="61">
        <v>0</v>
      </c>
    </row>
    <row r="33" spans="1:14" ht="15.75" customHeight="1" thickTop="1" thickBot="1" x14ac:dyDescent="0.3">
      <c r="A33" s="41" t="s">
        <v>34</v>
      </c>
      <c r="B33" s="42">
        <f>(B19+B21+B22+B23+B24+B28)-(B26+B32+B29)</f>
        <v>0</v>
      </c>
      <c r="C33" s="42">
        <f t="shared" ref="C33:E33" si="1">(C19+C21+C22+C23+C24+C28)-(C26+C32+C29)</f>
        <v>0</v>
      </c>
      <c r="D33" s="42">
        <f t="shared" si="1"/>
        <v>0</v>
      </c>
      <c r="E33" s="42">
        <f t="shared" si="1"/>
        <v>0</v>
      </c>
      <c r="F33" s="14"/>
      <c r="G33" s="93"/>
      <c r="H33" s="94"/>
      <c r="I33" s="95"/>
      <c r="K33" s="67">
        <f>VLOOKUP($B$4,Sheet2!$A$1:$BP$10,65,FALSE)</f>
        <v>0</v>
      </c>
      <c r="L33" s="68">
        <f>VLOOKUP($B$4,Sheet2!$A$1:$BP$10,66,FALSE)</f>
        <v>0</v>
      </c>
      <c r="M33" s="67">
        <f>VLOOKUP($B$4,Sheet2!$A$1:$BP$10,67,FALSE)</f>
        <v>0</v>
      </c>
      <c r="N33" s="67">
        <f>VLOOKUP($B$4,Sheet2!$A$1:$BP$10,68,FALSE)</f>
        <v>0</v>
      </c>
    </row>
    <row r="34" spans="1:14" ht="16.5" thickTop="1" thickBot="1" x14ac:dyDescent="0.3">
      <c r="A34" s="78" t="s">
        <v>50</v>
      </c>
      <c r="B34" s="78"/>
      <c r="C34" s="78"/>
      <c r="D34" s="79">
        <f>SUM(B33:E33)</f>
        <v>0</v>
      </c>
      <c r="E34" s="79"/>
      <c r="F34" s="22"/>
      <c r="G34" s="93"/>
      <c r="H34" s="94"/>
      <c r="I34" s="95"/>
    </row>
    <row r="35" spans="1:14" ht="5.25" customHeight="1" thickTop="1" thickBot="1" x14ac:dyDescent="0.3">
      <c r="G35" s="93"/>
      <c r="H35" s="94"/>
      <c r="I35" s="95"/>
    </row>
    <row r="36" spans="1:14" ht="13.5" customHeight="1" thickTop="1" thickBot="1" x14ac:dyDescent="0.3">
      <c r="A36" s="80" t="s">
        <v>55</v>
      </c>
      <c r="B36" s="80"/>
      <c r="C36" s="80"/>
      <c r="D36" s="80"/>
      <c r="E36" s="80"/>
      <c r="G36" s="103" t="s">
        <v>70</v>
      </c>
      <c r="H36" s="104"/>
      <c r="I36" s="105"/>
    </row>
    <row r="37" spans="1:14" ht="16.5" thickTop="1" thickBot="1" x14ac:dyDescent="0.3">
      <c r="A37" s="45" t="s">
        <v>56</v>
      </c>
      <c r="B37" s="45" t="s">
        <v>57</v>
      </c>
      <c r="C37" s="81" t="s">
        <v>58</v>
      </c>
      <c r="D37" s="81"/>
      <c r="E37" s="45" t="s">
        <v>59</v>
      </c>
      <c r="G37" s="103"/>
      <c r="H37" s="104"/>
      <c r="I37" s="105"/>
    </row>
    <row r="38" spans="1:14" ht="16.5" thickTop="1" thickBot="1" x14ac:dyDescent="0.3">
      <c r="A38" s="25" t="s">
        <v>51</v>
      </c>
      <c r="B38" s="38"/>
      <c r="C38" s="72">
        <v>1.057E-2</v>
      </c>
      <c r="D38" s="26">
        <f>B38*C38</f>
        <v>0</v>
      </c>
      <c r="E38" s="73">
        <f>B38-D38</f>
        <v>0</v>
      </c>
      <c r="G38" s="103"/>
      <c r="H38" s="104"/>
      <c r="I38" s="105"/>
    </row>
    <row r="39" spans="1:14" ht="16.5" customHeight="1" thickTop="1" thickBot="1" x14ac:dyDescent="0.3">
      <c r="A39" s="25" t="s">
        <v>52</v>
      </c>
      <c r="B39" s="38"/>
      <c r="C39" s="72">
        <v>1.057E-2</v>
      </c>
      <c r="D39" s="26">
        <f t="shared" ref="D39:D43" si="2">B39*C39</f>
        <v>0</v>
      </c>
      <c r="E39" s="73">
        <f t="shared" ref="E39:E43" si="3">B39-D39</f>
        <v>0</v>
      </c>
      <c r="G39" s="103"/>
      <c r="H39" s="104"/>
      <c r="I39" s="105"/>
    </row>
    <row r="40" spans="1:14" ht="15" customHeight="1" thickTop="1" thickBot="1" x14ac:dyDescent="0.3">
      <c r="A40" s="25" t="s">
        <v>60</v>
      </c>
      <c r="B40" s="38"/>
      <c r="C40" s="72">
        <v>4.2279999999999998E-2</v>
      </c>
      <c r="D40" s="26">
        <f t="shared" si="2"/>
        <v>0</v>
      </c>
      <c r="E40" s="73">
        <f t="shared" si="3"/>
        <v>0</v>
      </c>
      <c r="G40" s="103"/>
      <c r="H40" s="104"/>
      <c r="I40" s="105"/>
    </row>
    <row r="41" spans="1:14" ht="16.5" thickTop="1" thickBot="1" x14ac:dyDescent="0.3">
      <c r="A41" s="25" t="s">
        <v>61</v>
      </c>
      <c r="B41" s="38"/>
      <c r="C41" s="72">
        <v>4.2279999999999998E-2</v>
      </c>
      <c r="D41" s="26">
        <f t="shared" si="2"/>
        <v>0</v>
      </c>
      <c r="E41" s="73">
        <f t="shared" si="3"/>
        <v>0</v>
      </c>
      <c r="G41" s="103"/>
      <c r="H41" s="104"/>
      <c r="I41" s="105"/>
    </row>
    <row r="42" spans="1:14" ht="18.75" customHeight="1" thickTop="1" thickBot="1" x14ac:dyDescent="0.3">
      <c r="A42" s="25" t="s">
        <v>36</v>
      </c>
      <c r="B42" s="38"/>
      <c r="C42" s="27">
        <v>0</v>
      </c>
      <c r="D42" s="26">
        <f t="shared" si="2"/>
        <v>0</v>
      </c>
      <c r="E42" s="73">
        <f t="shared" si="3"/>
        <v>0</v>
      </c>
      <c r="G42" s="96" t="s">
        <v>92</v>
      </c>
      <c r="H42" s="97"/>
      <c r="I42" s="98"/>
    </row>
    <row r="43" spans="1:14" ht="16.5" thickTop="1" thickBot="1" x14ac:dyDescent="0.3">
      <c r="A43" s="25" t="s">
        <v>53</v>
      </c>
      <c r="B43" s="38"/>
      <c r="C43" s="27">
        <v>0</v>
      </c>
      <c r="D43" s="26">
        <f t="shared" si="2"/>
        <v>0</v>
      </c>
      <c r="E43" s="73">
        <f t="shared" si="3"/>
        <v>0</v>
      </c>
      <c r="G43" s="99"/>
      <c r="H43" s="97"/>
      <c r="I43" s="98"/>
    </row>
    <row r="44" spans="1:14" ht="16.5" thickTop="1" thickBot="1" x14ac:dyDescent="0.3">
      <c r="A44" s="39" t="s">
        <v>54</v>
      </c>
      <c r="B44" s="40">
        <f>SUM(B38:B43)</f>
        <v>0</v>
      </c>
      <c r="C44" s="82" t="s">
        <v>66</v>
      </c>
      <c r="D44" s="83"/>
      <c r="E44" s="40">
        <f>SUM(E38:E43)</f>
        <v>0</v>
      </c>
      <c r="G44" s="100"/>
      <c r="H44" s="101"/>
      <c r="I44" s="102"/>
    </row>
    <row r="45" spans="1:14" ht="10.5" customHeight="1" thickTop="1" x14ac:dyDescent="0.25"/>
    <row r="46" spans="1:14" x14ac:dyDescent="0.25">
      <c r="A46" s="74" t="s">
        <v>69</v>
      </c>
      <c r="B46" s="74"/>
      <c r="C46" s="74"/>
      <c r="D46" s="74"/>
      <c r="E46" s="74"/>
      <c r="F46" s="74"/>
      <c r="G46" s="74"/>
      <c r="H46" s="74"/>
      <c r="I46" s="74"/>
    </row>
  </sheetData>
  <sheetProtection algorithmName="SHA-512" hashValue="5A7JEsj1nUODCCIi4uwLOrrTQju+PbQI6c6R4UkfJxD7Vc3X3k1lCvklkACfaCwPLTy0n5TWO/99tyiLHBfBbg==" saltValue="/sj2gHyerdVpNWU2EGdBeQ==" spinCount="100000" sheet="1" selectLockedCells="1"/>
  <customSheetViews>
    <customSheetView guid="{C0A7FD7D-CD92-4CA6-A897-2F5C97D88BA3}" printArea="1">
      <selection sqref="A1:I46"/>
      <pageMargins left="0" right="0" top="0.25" bottom="0.25" header="0" footer="0"/>
      <pageSetup orientation="portrait" r:id="rId1"/>
    </customSheetView>
  </customSheetViews>
  <mergeCells count="33">
    <mergeCell ref="G23:H23"/>
    <mergeCell ref="G16:H16"/>
    <mergeCell ref="G17:H17"/>
    <mergeCell ref="G19:H19"/>
    <mergeCell ref="G21:H21"/>
    <mergeCell ref="G22:H22"/>
    <mergeCell ref="G20:H20"/>
    <mergeCell ref="A20:E20"/>
    <mergeCell ref="G1:I2"/>
    <mergeCell ref="G4:I5"/>
    <mergeCell ref="G6:I9"/>
    <mergeCell ref="G10:I10"/>
    <mergeCell ref="G11:I12"/>
    <mergeCell ref="A2:E2"/>
    <mergeCell ref="A1:E1"/>
    <mergeCell ref="G18:H18"/>
    <mergeCell ref="G15:H15"/>
    <mergeCell ref="G13:H13"/>
    <mergeCell ref="B4:E4"/>
    <mergeCell ref="A46:I46"/>
    <mergeCell ref="A27:E27"/>
    <mergeCell ref="A30:E30"/>
    <mergeCell ref="A34:C34"/>
    <mergeCell ref="D34:E34"/>
    <mergeCell ref="A36:E36"/>
    <mergeCell ref="C37:D37"/>
    <mergeCell ref="C44:D44"/>
    <mergeCell ref="G25:I27"/>
    <mergeCell ref="A25:E25"/>
    <mergeCell ref="G28:I31"/>
    <mergeCell ref="G42:I44"/>
    <mergeCell ref="G36:I41"/>
    <mergeCell ref="G32:I35"/>
  </mergeCells>
  <dataValidations count="4">
    <dataValidation type="list" allowBlank="1" showInputMessage="1" showErrorMessage="1" sqref="F4" xr:uid="{00000000-0002-0000-0000-000000000000}">
      <formula1>Class</formula1>
    </dataValidation>
    <dataValidation type="whole" allowBlank="1" showInputMessage="1" showErrorMessage="1" error="Amount should not exceed $8,010 a quarter." sqref="B28 C28 D28 E28" xr:uid="{00000000-0002-0000-0000-000001000000}">
      <formula1>0</formula1>
      <formula2>8010</formula2>
    </dataValidation>
    <dataValidation type="whole" operator="greaterThan" allowBlank="1" showInputMessage="1" showErrorMessage="1" sqref="B32:E32" xr:uid="{00000000-0002-0000-0000-000002000000}">
      <formula1>0</formula1>
    </dataValidation>
    <dataValidation type="whole" allowBlank="1" showInputMessage="1" showErrorMessage="1" error="Amount should not exceed $8,010 a quarter." sqref="B29 C29 D29 E29" xr:uid="{00000000-0002-0000-0000-000003000000}">
      <formula1>0</formula1>
      <formula2>8178</formula2>
    </dataValidation>
  </dataValidations>
  <pageMargins left="0" right="0" top="0.25" bottom="0.25" header="0" footer="0"/>
  <pageSetup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8" r:id="rId5" name="Check Box 30">
              <controlPr locked="0" defaultSize="0" autoFill="0" autoLine="0" autoPict="0">
                <anchor moveWithCells="1">
                  <from>
                    <xdr:col>0</xdr:col>
                    <xdr:colOff>390525</xdr:colOff>
                    <xdr:row>20</xdr:row>
                    <xdr:rowOff>47625</xdr:rowOff>
                  </from>
                  <to>
                    <xdr:col>0</xdr:col>
                    <xdr:colOff>923925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6" name="Check Box 31">
              <controlPr locked="0" defaultSize="0" autoFill="0" autoLine="0" autoPict="0">
                <anchor moveWithCells="1">
                  <from>
                    <xdr:col>0</xdr:col>
                    <xdr:colOff>266700</xdr:colOff>
                    <xdr:row>20</xdr:row>
                    <xdr:rowOff>257175</xdr:rowOff>
                  </from>
                  <to>
                    <xdr:col>0</xdr:col>
                    <xdr:colOff>571500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7" name="Check Box 32">
              <controlPr locked="0" defaultSize="0" autoFill="0" autoLine="0" autoPict="0">
                <anchor moveWithCells="1">
                  <from>
                    <xdr:col>0</xdr:col>
                    <xdr:colOff>276225</xdr:colOff>
                    <xdr:row>21</xdr:row>
                    <xdr:rowOff>190500</xdr:rowOff>
                  </from>
                  <to>
                    <xdr:col>0</xdr:col>
                    <xdr:colOff>581025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8" name="Check Box 33">
              <controlPr locked="0" defaultSize="0" autoFill="0" autoLine="0" autoPict="0">
                <anchor moveWithCells="1">
                  <from>
                    <xdr:col>0</xdr:col>
                    <xdr:colOff>257175</xdr:colOff>
                    <xdr:row>23</xdr:row>
                    <xdr:rowOff>0</xdr:rowOff>
                  </from>
                  <to>
                    <xdr:col>0</xdr:col>
                    <xdr:colOff>561975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9" name="Check Box 35">
              <controlPr locked="0" defaultSize="0" autoFill="0" autoLine="0" autoPict="0">
                <anchor moveWithCells="1">
                  <from>
                    <xdr:col>0</xdr:col>
                    <xdr:colOff>9525</xdr:colOff>
                    <xdr:row>25</xdr:row>
                    <xdr:rowOff>28575</xdr:rowOff>
                  </from>
                  <to>
                    <xdr:col>0</xdr:col>
                    <xdr:colOff>1971675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0" name="Option Button 42">
              <controlPr locked="0" defaultSize="0" autoFill="0" autoLine="0" autoPict="0">
                <anchor moveWithCells="1">
                  <from>
                    <xdr:col>0</xdr:col>
                    <xdr:colOff>1066800</xdr:colOff>
                    <xdr:row>27</xdr:row>
                    <xdr:rowOff>28575</xdr:rowOff>
                  </from>
                  <to>
                    <xdr:col>0</xdr:col>
                    <xdr:colOff>1971675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11" name="Option Button 51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28</xdr:row>
                    <xdr:rowOff>28575</xdr:rowOff>
                  </from>
                  <to>
                    <xdr:col>0</xdr:col>
                    <xdr:colOff>1981200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12" name="Option Button 60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27</xdr:row>
                    <xdr:rowOff>28575</xdr:rowOff>
                  </from>
                  <to>
                    <xdr:col>0</xdr:col>
                    <xdr:colOff>1076325</xdr:colOff>
                    <xdr:row>27</xdr:row>
                    <xdr:rowOff>200025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Sheet2!$A$2:$A$10</xm:f>
          </x14:formula1>
          <xm:sqref>B4:E4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T10"/>
  <sheetViews>
    <sheetView topLeftCell="B1" workbookViewId="0">
      <selection activeCell="BM9" sqref="BM9"/>
    </sheetView>
  </sheetViews>
  <sheetFormatPr defaultRowHeight="15" x14ac:dyDescent="0.25"/>
  <cols>
    <col min="1" max="1" width="30" bestFit="1" customWidth="1"/>
    <col min="2" max="5" width="10.85546875" style="1" bestFit="1" customWidth="1"/>
    <col min="6" max="6" width="11.140625" style="1" customWidth="1"/>
    <col min="7" max="7" width="13.5703125" style="1" customWidth="1"/>
    <col min="8" max="8" width="15.140625" style="1" customWidth="1"/>
    <col min="9" max="9" width="12.140625" style="1" customWidth="1"/>
    <col min="10" max="10" width="14.85546875" style="1" customWidth="1"/>
    <col min="11" max="11" width="12.85546875" style="1" customWidth="1"/>
    <col min="12" max="12" width="8.140625" style="1" customWidth="1"/>
    <col min="13" max="13" width="10.140625" style="1" customWidth="1"/>
    <col min="14" max="17" width="9.85546875" style="1" bestFit="1" customWidth="1"/>
    <col min="18" max="18" width="8.5703125" style="1" customWidth="1"/>
    <col min="19" max="19" width="5.85546875" style="1" customWidth="1"/>
    <col min="20" max="20" width="10" style="1" customWidth="1"/>
    <col min="21" max="21" width="9.140625" style="1" customWidth="1"/>
    <col min="22" max="22" width="10.85546875" style="1" customWidth="1"/>
    <col min="23" max="25" width="9.85546875" style="1" bestFit="1" customWidth="1"/>
    <col min="26" max="26" width="11.85546875" style="1" customWidth="1"/>
    <col min="27" max="27" width="9" style="1" customWidth="1"/>
    <col min="28" max="28" width="8.5703125" style="1" customWidth="1"/>
    <col min="29" max="29" width="8.140625" style="1" bestFit="1" customWidth="1"/>
    <col min="30" max="30" width="11.85546875" style="1" customWidth="1"/>
    <col min="31" max="31" width="21.140625" style="1" customWidth="1"/>
    <col min="32" max="32" width="19.5703125" style="1" customWidth="1"/>
    <col min="33" max="33" width="8.140625" style="1" bestFit="1" customWidth="1"/>
    <col min="34" max="34" width="9.85546875" style="1" bestFit="1" customWidth="1"/>
    <col min="35" max="35" width="8.140625" style="1" bestFit="1" customWidth="1"/>
    <col min="36" max="36" width="5" style="1" customWidth="1"/>
    <col min="37" max="37" width="12" style="1" customWidth="1"/>
    <col min="38" max="38" width="7.140625" style="1" customWidth="1"/>
    <col min="39" max="39" width="8.28515625" style="1" bestFit="1" customWidth="1"/>
    <col min="40" max="40" width="10" style="1" customWidth="1"/>
    <col min="41" max="41" width="7.42578125" style="1" customWidth="1"/>
    <col min="42" max="42" width="6.5703125" style="1" customWidth="1"/>
    <col min="43" max="43" width="7.140625" style="1" customWidth="1"/>
    <col min="44" max="44" width="10" style="1" customWidth="1"/>
    <col min="45" max="45" width="12.85546875" style="1" customWidth="1"/>
    <col min="46" max="46" width="5.85546875" style="1" customWidth="1"/>
    <col min="47" max="47" width="8.140625" style="1" bestFit="1" customWidth="1"/>
    <col min="48" max="48" width="8.140625" style="1" customWidth="1"/>
    <col min="49" max="49" width="14.140625" style="1" customWidth="1"/>
    <col min="50" max="53" width="9.140625" style="1"/>
    <col min="54" max="54" width="9.85546875" style="1" bestFit="1" customWidth="1"/>
    <col min="55" max="62" width="9.140625" style="1"/>
    <col min="63" max="63" width="20.140625" bestFit="1" customWidth="1"/>
    <col min="64" max="64" width="20.85546875" bestFit="1" customWidth="1"/>
    <col min="65" max="67" width="9.85546875" style="1" bestFit="1" customWidth="1"/>
    <col min="68" max="68" width="9.85546875" bestFit="1" customWidth="1"/>
  </cols>
  <sheetData>
    <row r="1" spans="1:72" x14ac:dyDescent="0.25">
      <c r="A1" s="33" t="s">
        <v>0</v>
      </c>
      <c r="B1" s="132" t="s">
        <v>6</v>
      </c>
      <c r="C1" s="132"/>
      <c r="D1" s="132"/>
      <c r="E1" s="132"/>
      <c r="F1" s="132" t="s">
        <v>21</v>
      </c>
      <c r="G1" s="132"/>
      <c r="H1" s="132"/>
      <c r="I1" s="132"/>
      <c r="J1" s="132" t="s">
        <v>7</v>
      </c>
      <c r="K1" s="132"/>
      <c r="L1" s="132"/>
      <c r="M1" s="132"/>
      <c r="N1" s="132" t="s">
        <v>8</v>
      </c>
      <c r="O1" s="132"/>
      <c r="P1" s="132"/>
      <c r="Q1" s="132"/>
      <c r="R1" s="132" t="s">
        <v>9</v>
      </c>
      <c r="S1" s="132"/>
      <c r="T1" s="132"/>
      <c r="U1" s="132"/>
      <c r="V1" s="132" t="s">
        <v>10</v>
      </c>
      <c r="W1" s="132"/>
      <c r="X1" s="132"/>
      <c r="Y1" s="132"/>
      <c r="Z1" s="132" t="s">
        <v>11</v>
      </c>
      <c r="AA1" s="132"/>
      <c r="AB1" s="132"/>
      <c r="AC1" s="132"/>
      <c r="AD1" s="132" t="s">
        <v>12</v>
      </c>
      <c r="AE1" s="132"/>
      <c r="AF1" s="132"/>
      <c r="AG1" s="132"/>
      <c r="AH1" s="132" t="s">
        <v>13</v>
      </c>
      <c r="AI1" s="132"/>
      <c r="AJ1" s="132"/>
      <c r="AK1" s="132"/>
      <c r="AL1" s="132" t="s">
        <v>14</v>
      </c>
      <c r="AM1" s="132"/>
      <c r="AN1" s="132"/>
      <c r="AO1" s="132"/>
      <c r="AP1" s="132" t="s">
        <v>15</v>
      </c>
      <c r="AQ1" s="132"/>
      <c r="AR1" s="132"/>
      <c r="AS1" s="132"/>
      <c r="AT1" s="132" t="s">
        <v>16</v>
      </c>
      <c r="AU1" s="132"/>
      <c r="AV1" s="132"/>
      <c r="AW1" s="132"/>
      <c r="AX1" s="132" t="s">
        <v>17</v>
      </c>
      <c r="AY1" s="132"/>
      <c r="AZ1" s="132"/>
      <c r="BA1" s="132"/>
      <c r="BB1" s="34" t="s">
        <v>31</v>
      </c>
      <c r="BC1" s="132" t="s">
        <v>18</v>
      </c>
      <c r="BD1" s="132"/>
      <c r="BE1" s="132"/>
      <c r="BF1" s="132"/>
      <c r="BG1" s="132" t="s">
        <v>19</v>
      </c>
      <c r="BH1" s="132"/>
      <c r="BI1" s="132"/>
      <c r="BJ1" s="132"/>
      <c r="BK1" s="33" t="s">
        <v>91</v>
      </c>
      <c r="BL1" s="33" t="s">
        <v>90</v>
      </c>
      <c r="BM1" s="133" t="s">
        <v>20</v>
      </c>
      <c r="BN1" s="133"/>
      <c r="BO1" s="133"/>
      <c r="BP1" s="133"/>
      <c r="BQ1" s="134"/>
      <c r="BR1" s="134"/>
      <c r="BS1" s="134"/>
      <c r="BT1" s="134"/>
    </row>
    <row r="2" spans="1:72" x14ac:dyDescent="0.25">
      <c r="A2" s="33" t="s">
        <v>22</v>
      </c>
      <c r="B2" s="35">
        <v>32936.75</v>
      </c>
      <c r="C2" s="35">
        <v>32936.75</v>
      </c>
      <c r="D2" s="35">
        <v>32936.75</v>
      </c>
      <c r="E2" s="35">
        <v>32936.75</v>
      </c>
      <c r="F2" s="35">
        <v>240</v>
      </c>
      <c r="G2" s="35">
        <v>240</v>
      </c>
      <c r="H2" s="35">
        <v>240</v>
      </c>
      <c r="I2" s="35">
        <v>240</v>
      </c>
      <c r="J2" s="35">
        <v>53</v>
      </c>
      <c r="K2" s="35"/>
      <c r="L2" s="35"/>
      <c r="M2" s="35"/>
      <c r="N2" s="35">
        <v>2996.9</v>
      </c>
      <c r="O2" s="35">
        <v>2996.9</v>
      </c>
      <c r="P2" s="35">
        <v>2996.9</v>
      </c>
      <c r="Q2" s="35">
        <v>2996.9</v>
      </c>
      <c r="R2" s="35">
        <v>210</v>
      </c>
      <c r="S2" s="35"/>
      <c r="T2" s="35"/>
      <c r="U2" s="35"/>
      <c r="V2" s="35">
        <v>932</v>
      </c>
      <c r="W2" s="35">
        <v>932</v>
      </c>
      <c r="X2" s="35">
        <v>932</v>
      </c>
      <c r="Y2" s="35">
        <v>932</v>
      </c>
      <c r="Z2" s="35">
        <v>193</v>
      </c>
      <c r="AA2" s="35">
        <v>193</v>
      </c>
      <c r="AB2" s="35">
        <v>193</v>
      </c>
      <c r="AC2" s="35">
        <v>193</v>
      </c>
      <c r="AD2" s="35">
        <v>1195</v>
      </c>
      <c r="AE2" s="35"/>
      <c r="AF2" s="35"/>
      <c r="AG2" s="35"/>
      <c r="AH2" s="35">
        <v>250</v>
      </c>
      <c r="AI2" s="35"/>
      <c r="AJ2" s="35"/>
      <c r="AK2" s="35"/>
      <c r="AL2" s="35"/>
      <c r="AM2" s="35">
        <v>150</v>
      </c>
      <c r="AN2" s="35"/>
      <c r="AO2" s="35"/>
      <c r="AP2" s="35"/>
      <c r="AQ2" s="35"/>
      <c r="AR2" s="35">
        <v>325</v>
      </c>
      <c r="AS2" s="35"/>
      <c r="AT2" s="35"/>
      <c r="AU2" s="35"/>
      <c r="AV2" s="35"/>
      <c r="AW2" s="35"/>
      <c r="AX2" s="35"/>
      <c r="AY2" s="35"/>
      <c r="AZ2" s="35"/>
      <c r="BA2" s="35"/>
      <c r="BB2" s="35">
        <v>3000</v>
      </c>
      <c r="BC2" s="35">
        <v>857.5</v>
      </c>
      <c r="BD2" s="35">
        <v>857.5</v>
      </c>
      <c r="BE2" s="35">
        <v>857.5</v>
      </c>
      <c r="BF2" s="35">
        <v>857.5</v>
      </c>
      <c r="BG2" s="35">
        <v>400</v>
      </c>
      <c r="BH2" s="35">
        <v>400</v>
      </c>
      <c r="BI2" s="35">
        <v>400</v>
      </c>
      <c r="BJ2" s="35">
        <v>400</v>
      </c>
      <c r="BK2" s="33">
        <v>0</v>
      </c>
      <c r="BL2" s="33">
        <v>0</v>
      </c>
      <c r="BM2" s="35">
        <v>9936</v>
      </c>
      <c r="BN2" s="35">
        <v>9936</v>
      </c>
      <c r="BO2" s="35">
        <v>9936</v>
      </c>
      <c r="BP2" s="35">
        <v>9936</v>
      </c>
    </row>
    <row r="3" spans="1:72" x14ac:dyDescent="0.25">
      <c r="A3" s="33" t="s">
        <v>23</v>
      </c>
      <c r="B3" s="35">
        <v>32936.75</v>
      </c>
      <c r="C3" s="35">
        <v>32936.75</v>
      </c>
      <c r="D3" s="35">
        <v>32936.75</v>
      </c>
      <c r="E3" s="35">
        <v>32936.75</v>
      </c>
      <c r="F3" s="35">
        <v>240</v>
      </c>
      <c r="G3" s="35">
        <v>240</v>
      </c>
      <c r="H3" s="35">
        <v>240</v>
      </c>
      <c r="I3" s="35">
        <v>240</v>
      </c>
      <c r="J3" s="35">
        <v>53</v>
      </c>
      <c r="K3" s="35"/>
      <c r="L3" s="35"/>
      <c r="M3" s="35"/>
      <c r="N3" s="35">
        <v>801.75</v>
      </c>
      <c r="O3" s="35">
        <v>801.75</v>
      </c>
      <c r="P3" s="35">
        <v>801.75</v>
      </c>
      <c r="Q3" s="35">
        <v>801.75</v>
      </c>
      <c r="R3" s="35">
        <v>210</v>
      </c>
      <c r="S3" s="35"/>
      <c r="T3" s="35"/>
      <c r="U3" s="35"/>
      <c r="V3" s="35">
        <v>1122.5</v>
      </c>
      <c r="W3" s="35">
        <v>1122.5</v>
      </c>
      <c r="X3" s="35">
        <v>1122.5</v>
      </c>
      <c r="Y3" s="35">
        <v>1122.5</v>
      </c>
      <c r="Z3" s="35">
        <v>193</v>
      </c>
      <c r="AA3" s="35">
        <v>193</v>
      </c>
      <c r="AB3" s="35">
        <v>193</v>
      </c>
      <c r="AC3" s="35">
        <v>193</v>
      </c>
      <c r="AD3" s="35"/>
      <c r="AE3" s="35"/>
      <c r="AF3" s="35"/>
      <c r="AG3" s="35"/>
      <c r="AH3" s="35">
        <v>250</v>
      </c>
      <c r="AI3" s="35"/>
      <c r="AJ3" s="35"/>
      <c r="AK3" s="35"/>
      <c r="AL3" s="35"/>
      <c r="AM3" s="35">
        <v>150</v>
      </c>
      <c r="AN3" s="35"/>
      <c r="AO3" s="35"/>
      <c r="AP3" s="35"/>
      <c r="AQ3" s="35"/>
      <c r="AR3" s="35">
        <v>665</v>
      </c>
      <c r="AS3" s="35"/>
      <c r="AT3" s="35"/>
      <c r="AU3" s="35"/>
      <c r="AV3" s="35"/>
      <c r="AW3" s="35"/>
      <c r="AX3" s="35"/>
      <c r="AY3" s="35"/>
      <c r="AZ3" s="35"/>
      <c r="BA3" s="35"/>
      <c r="BB3" s="35">
        <v>0</v>
      </c>
      <c r="BC3" s="35">
        <v>857.5</v>
      </c>
      <c r="BD3" s="35">
        <v>857.5</v>
      </c>
      <c r="BE3" s="35">
        <v>857.5</v>
      </c>
      <c r="BF3" s="35">
        <v>857.5</v>
      </c>
      <c r="BG3" s="35">
        <v>200</v>
      </c>
      <c r="BH3" s="35">
        <v>200</v>
      </c>
      <c r="BI3" s="35">
        <v>200</v>
      </c>
      <c r="BJ3" s="35">
        <v>200</v>
      </c>
      <c r="BK3" s="35">
        <v>0</v>
      </c>
      <c r="BL3" s="33">
        <v>0</v>
      </c>
      <c r="BM3" s="35">
        <v>9936</v>
      </c>
      <c r="BN3" s="35">
        <v>9936</v>
      </c>
      <c r="BO3" s="35">
        <v>9936</v>
      </c>
      <c r="BP3" s="35">
        <v>9936</v>
      </c>
    </row>
    <row r="4" spans="1:72" x14ac:dyDescent="0.25">
      <c r="A4" s="33" t="s">
        <v>24</v>
      </c>
      <c r="B4" s="35">
        <v>32936.75</v>
      </c>
      <c r="C4" s="35">
        <v>32936.75</v>
      </c>
      <c r="D4" s="35">
        <v>32936.75</v>
      </c>
      <c r="E4" s="35">
        <v>32936.75</v>
      </c>
      <c r="F4" s="35">
        <v>240</v>
      </c>
      <c r="G4" s="35">
        <v>240</v>
      </c>
      <c r="H4" s="35">
        <v>240</v>
      </c>
      <c r="I4" s="35">
        <v>240</v>
      </c>
      <c r="J4" s="35">
        <v>53</v>
      </c>
      <c r="K4" s="35"/>
      <c r="L4" s="35"/>
      <c r="M4" s="35"/>
      <c r="N4" s="35"/>
      <c r="O4" s="35"/>
      <c r="P4" s="35"/>
      <c r="Q4" s="35"/>
      <c r="R4" s="35">
        <v>210</v>
      </c>
      <c r="S4" s="35"/>
      <c r="T4" s="35"/>
      <c r="U4" s="35"/>
      <c r="V4" s="35">
        <v>1456</v>
      </c>
      <c r="W4" s="35">
        <v>1456</v>
      </c>
      <c r="X4" s="35">
        <v>1456</v>
      </c>
      <c r="Y4" s="35">
        <v>1456</v>
      </c>
      <c r="Z4" s="35">
        <v>193</v>
      </c>
      <c r="AA4" s="35">
        <v>193</v>
      </c>
      <c r="AB4" s="35">
        <v>193</v>
      </c>
      <c r="AC4" s="35">
        <v>193</v>
      </c>
      <c r="AD4" s="35"/>
      <c r="AE4" s="35"/>
      <c r="AF4" s="35"/>
      <c r="AG4" s="35"/>
      <c r="AH4" s="35"/>
      <c r="AI4" s="35"/>
      <c r="AJ4" s="35"/>
      <c r="AK4" s="35"/>
      <c r="AL4" s="35"/>
      <c r="AM4" s="35">
        <v>150</v>
      </c>
      <c r="AN4" s="35"/>
      <c r="AO4" s="35"/>
      <c r="AP4" s="35"/>
      <c r="AQ4" s="35"/>
      <c r="AR4" s="35"/>
      <c r="AS4" s="35"/>
      <c r="AT4" s="35"/>
      <c r="AU4" s="35">
        <v>200</v>
      </c>
      <c r="AV4" s="35"/>
      <c r="AW4" s="35"/>
      <c r="AX4" s="35"/>
      <c r="AY4" s="35"/>
      <c r="AZ4" s="35"/>
      <c r="BA4" s="35">
        <v>216</v>
      </c>
      <c r="BB4" s="35">
        <v>0</v>
      </c>
      <c r="BC4" s="35">
        <v>857.5</v>
      </c>
      <c r="BD4" s="35">
        <v>857.5</v>
      </c>
      <c r="BE4" s="35">
        <v>857.5</v>
      </c>
      <c r="BF4" s="35">
        <v>857.5</v>
      </c>
      <c r="BG4" s="35">
        <v>200</v>
      </c>
      <c r="BH4" s="35">
        <v>200</v>
      </c>
      <c r="BI4" s="35">
        <v>200</v>
      </c>
      <c r="BJ4" s="35">
        <v>200</v>
      </c>
      <c r="BK4" s="33">
        <v>0</v>
      </c>
      <c r="BL4" s="35">
        <v>845</v>
      </c>
      <c r="BM4" s="35">
        <v>9936</v>
      </c>
      <c r="BN4" s="35">
        <v>9936</v>
      </c>
      <c r="BO4" s="35">
        <v>9936</v>
      </c>
      <c r="BP4" s="35">
        <v>9936</v>
      </c>
    </row>
    <row r="5" spans="1:72" x14ac:dyDescent="0.25">
      <c r="A5" s="33" t="s">
        <v>25</v>
      </c>
      <c r="B5" s="35">
        <v>32936.75</v>
      </c>
      <c r="C5" s="35">
        <v>32936.75</v>
      </c>
      <c r="D5" s="35">
        <v>32936.75</v>
      </c>
      <c r="E5" s="35">
        <v>32936.75</v>
      </c>
      <c r="F5" s="35">
        <v>240</v>
      </c>
      <c r="G5" s="35">
        <v>240</v>
      </c>
      <c r="H5" s="35">
        <v>240</v>
      </c>
      <c r="I5" s="35">
        <v>240</v>
      </c>
      <c r="J5" s="35">
        <v>53</v>
      </c>
      <c r="K5" s="35"/>
      <c r="L5" s="35"/>
      <c r="M5" s="35"/>
      <c r="N5" s="35">
        <v>3600.73</v>
      </c>
      <c r="O5" s="35">
        <v>3600.73</v>
      </c>
      <c r="P5" s="35">
        <v>3600.73</v>
      </c>
      <c r="Q5" s="35">
        <v>3600.73</v>
      </c>
      <c r="R5" s="35">
        <v>210</v>
      </c>
      <c r="S5" s="35"/>
      <c r="T5" s="35"/>
      <c r="U5" s="35"/>
      <c r="V5" s="35">
        <v>932</v>
      </c>
      <c r="W5" s="35">
        <v>932</v>
      </c>
      <c r="X5" s="35">
        <v>932</v>
      </c>
      <c r="Y5" s="35">
        <v>932</v>
      </c>
      <c r="Z5" s="35">
        <v>193</v>
      </c>
      <c r="AA5" s="35">
        <v>193</v>
      </c>
      <c r="AB5" s="35">
        <v>193</v>
      </c>
      <c r="AC5" s="35">
        <v>193</v>
      </c>
      <c r="AD5" s="35">
        <v>1195</v>
      </c>
      <c r="AE5" s="35"/>
      <c r="AF5" s="35"/>
      <c r="AG5" s="35"/>
      <c r="AH5" s="35">
        <v>875</v>
      </c>
      <c r="AI5" s="35"/>
      <c r="AJ5" s="35"/>
      <c r="AK5" s="35"/>
      <c r="AL5" s="35"/>
      <c r="AM5" s="35">
        <v>150</v>
      </c>
      <c r="AN5" s="35"/>
      <c r="AO5" s="35"/>
      <c r="AP5" s="35"/>
      <c r="AQ5" s="35"/>
      <c r="AR5" s="35">
        <v>665</v>
      </c>
      <c r="AS5" s="35"/>
      <c r="AT5" s="35"/>
      <c r="AU5" s="35"/>
      <c r="AV5" s="35"/>
      <c r="AW5" s="35"/>
      <c r="AX5" s="35"/>
      <c r="AY5" s="35"/>
      <c r="AZ5" s="35"/>
      <c r="BA5" s="35"/>
      <c r="BB5" s="35">
        <v>3000</v>
      </c>
      <c r="BC5" s="35">
        <v>857.5</v>
      </c>
      <c r="BD5" s="35">
        <v>857.5</v>
      </c>
      <c r="BE5" s="35">
        <v>857.5</v>
      </c>
      <c r="BF5" s="35">
        <v>857.5</v>
      </c>
      <c r="BG5" s="35">
        <v>400</v>
      </c>
      <c r="BH5" s="35">
        <v>400</v>
      </c>
      <c r="BI5" s="35">
        <v>400</v>
      </c>
      <c r="BJ5" s="35">
        <v>400</v>
      </c>
      <c r="BK5" s="33">
        <v>0</v>
      </c>
      <c r="BL5" s="33">
        <v>0</v>
      </c>
      <c r="BM5" s="35">
        <v>9936</v>
      </c>
      <c r="BN5" s="35">
        <v>9936</v>
      </c>
      <c r="BO5" s="35">
        <v>9936</v>
      </c>
      <c r="BP5" s="35">
        <v>9936</v>
      </c>
    </row>
    <row r="6" spans="1:72" x14ac:dyDescent="0.25">
      <c r="A6" s="33" t="s">
        <v>26</v>
      </c>
      <c r="B6" s="35">
        <v>32936.75</v>
      </c>
      <c r="C6" s="35">
        <v>32936.75</v>
      </c>
      <c r="D6" s="35">
        <v>32936.75</v>
      </c>
      <c r="E6" s="35">
        <v>32936.75</v>
      </c>
      <c r="F6" s="35">
        <v>240</v>
      </c>
      <c r="G6" s="35">
        <v>240</v>
      </c>
      <c r="H6" s="35">
        <v>240</v>
      </c>
      <c r="I6" s="35">
        <v>240</v>
      </c>
      <c r="J6" s="35">
        <v>53</v>
      </c>
      <c r="K6" s="35"/>
      <c r="L6" s="35"/>
      <c r="M6" s="35"/>
      <c r="N6" s="35"/>
      <c r="O6" s="35"/>
      <c r="P6" s="35"/>
      <c r="Q6" s="35"/>
      <c r="R6" s="35">
        <v>210</v>
      </c>
      <c r="S6" s="35"/>
      <c r="T6" s="35"/>
      <c r="U6" s="35"/>
      <c r="V6" s="35">
        <v>1456</v>
      </c>
      <c r="W6" s="35">
        <v>1456</v>
      </c>
      <c r="X6" s="35">
        <v>1456</v>
      </c>
      <c r="Y6" s="35">
        <v>1456</v>
      </c>
      <c r="Z6" s="35">
        <v>193</v>
      </c>
      <c r="AA6" s="35">
        <v>193</v>
      </c>
      <c r="AB6" s="35">
        <v>193</v>
      </c>
      <c r="AC6" s="35">
        <v>193</v>
      </c>
      <c r="AD6" s="35"/>
      <c r="AE6" s="35"/>
      <c r="AF6" s="35"/>
      <c r="AG6" s="35"/>
      <c r="AH6" s="35"/>
      <c r="AI6" s="35"/>
      <c r="AJ6" s="35"/>
      <c r="AK6" s="35"/>
      <c r="AL6" s="35"/>
      <c r="AM6" s="35">
        <v>150</v>
      </c>
      <c r="AN6" s="35"/>
      <c r="AO6" s="35"/>
      <c r="AP6" s="35"/>
      <c r="AQ6" s="35"/>
      <c r="AR6" s="35">
        <v>375</v>
      </c>
      <c r="AS6" s="35"/>
      <c r="AT6" s="35"/>
      <c r="AU6" s="35">
        <v>200</v>
      </c>
      <c r="AV6" s="35"/>
      <c r="AW6" s="35"/>
      <c r="AX6" s="35"/>
      <c r="AY6" s="35"/>
      <c r="AZ6" s="35">
        <v>216</v>
      </c>
      <c r="BA6" s="35"/>
      <c r="BB6" s="35">
        <v>0</v>
      </c>
      <c r="BC6" s="35">
        <v>857.5</v>
      </c>
      <c r="BD6" s="35">
        <v>857.5</v>
      </c>
      <c r="BE6" s="35">
        <v>857.5</v>
      </c>
      <c r="BF6" s="35">
        <v>857.5</v>
      </c>
      <c r="BG6" s="35">
        <v>200</v>
      </c>
      <c r="BH6" s="35">
        <v>200</v>
      </c>
      <c r="BI6" s="35">
        <v>200</v>
      </c>
      <c r="BJ6" s="35">
        <v>200</v>
      </c>
      <c r="BK6" s="33">
        <v>0</v>
      </c>
      <c r="BL6" s="33">
        <v>0</v>
      </c>
      <c r="BM6" s="35">
        <v>9936</v>
      </c>
      <c r="BN6" s="35">
        <v>9936</v>
      </c>
      <c r="BO6" s="35">
        <v>9936</v>
      </c>
      <c r="BP6" s="35">
        <v>9936</v>
      </c>
    </row>
    <row r="7" spans="1:72" x14ac:dyDescent="0.25">
      <c r="A7" s="33" t="s">
        <v>27</v>
      </c>
      <c r="B7" s="35">
        <v>32936.75</v>
      </c>
      <c r="C7" s="35">
        <v>32936.75</v>
      </c>
      <c r="D7" s="35">
        <v>32936.75</v>
      </c>
      <c r="E7" s="35">
        <v>32936.75</v>
      </c>
      <c r="F7" s="35">
        <v>240</v>
      </c>
      <c r="G7" s="35">
        <v>240</v>
      </c>
      <c r="H7" s="35">
        <v>240</v>
      </c>
      <c r="I7" s="35">
        <v>240</v>
      </c>
      <c r="J7" s="35">
        <v>53</v>
      </c>
      <c r="K7" s="35"/>
      <c r="L7" s="35"/>
      <c r="M7" s="35"/>
      <c r="N7" s="35">
        <v>175</v>
      </c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>
        <v>1000</v>
      </c>
      <c r="BC7" s="35">
        <v>857.5</v>
      </c>
      <c r="BD7" s="35">
        <v>857.5</v>
      </c>
      <c r="BE7" s="35">
        <v>857.5</v>
      </c>
      <c r="BF7" s="35">
        <v>857.5</v>
      </c>
      <c r="BG7" s="35">
        <v>0</v>
      </c>
      <c r="BH7" s="35">
        <v>0</v>
      </c>
      <c r="BI7" s="35">
        <v>0</v>
      </c>
      <c r="BJ7" s="35">
        <v>0</v>
      </c>
      <c r="BK7" s="33">
        <v>0</v>
      </c>
      <c r="BL7" s="33">
        <v>0</v>
      </c>
      <c r="BM7" s="35">
        <v>9936</v>
      </c>
      <c r="BN7" s="35">
        <v>9936</v>
      </c>
      <c r="BO7" s="35">
        <v>9936</v>
      </c>
      <c r="BP7" s="35">
        <v>9936</v>
      </c>
    </row>
    <row r="8" spans="1:72" s="12" customFormat="1" x14ac:dyDescent="0.25">
      <c r="A8" s="36" t="s">
        <v>28</v>
      </c>
      <c r="B8" s="35">
        <v>32936.75</v>
      </c>
      <c r="C8" s="35">
        <v>32936.75</v>
      </c>
      <c r="D8" s="35">
        <v>32936.75</v>
      </c>
      <c r="E8" s="35">
        <v>32936.75</v>
      </c>
      <c r="F8" s="35">
        <v>240</v>
      </c>
      <c r="G8" s="35">
        <v>240</v>
      </c>
      <c r="H8" s="35">
        <v>240</v>
      </c>
      <c r="I8" s="35">
        <v>240</v>
      </c>
      <c r="J8" s="35">
        <v>53</v>
      </c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>
        <v>0</v>
      </c>
      <c r="BC8" s="35">
        <v>857.5</v>
      </c>
      <c r="BD8" s="35">
        <v>857.5</v>
      </c>
      <c r="BE8" s="35">
        <v>857.5</v>
      </c>
      <c r="BF8" s="35">
        <v>857.5</v>
      </c>
      <c r="BG8" s="37">
        <v>0</v>
      </c>
      <c r="BH8" s="37">
        <v>0</v>
      </c>
      <c r="BI8" s="37">
        <v>0</v>
      </c>
      <c r="BJ8" s="37">
        <v>0</v>
      </c>
      <c r="BK8" s="36">
        <v>0</v>
      </c>
      <c r="BL8" s="36">
        <v>0</v>
      </c>
      <c r="BM8" s="35">
        <v>9936</v>
      </c>
      <c r="BN8" s="35">
        <v>9936</v>
      </c>
      <c r="BO8" s="35">
        <v>9936</v>
      </c>
      <c r="BP8" s="35">
        <v>9936</v>
      </c>
    </row>
    <row r="9" spans="1:72" s="12" customFormat="1" x14ac:dyDescent="0.25">
      <c r="A9" s="36" t="s">
        <v>29</v>
      </c>
      <c r="B9" s="35">
        <v>32936.75</v>
      </c>
      <c r="C9" s="37">
        <v>0</v>
      </c>
      <c r="D9" s="37">
        <v>0</v>
      </c>
      <c r="E9" s="37">
        <v>0</v>
      </c>
      <c r="F9" s="35">
        <v>240</v>
      </c>
      <c r="G9" s="37"/>
      <c r="H9" s="37"/>
      <c r="I9" s="37"/>
      <c r="J9" s="35">
        <v>53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>
        <v>0</v>
      </c>
      <c r="BC9" s="35">
        <v>857.5</v>
      </c>
      <c r="BD9" s="37">
        <v>0</v>
      </c>
      <c r="BE9" s="37">
        <v>0</v>
      </c>
      <c r="BF9" s="37">
        <v>0</v>
      </c>
      <c r="BG9" s="37">
        <v>0</v>
      </c>
      <c r="BH9" s="37">
        <v>0</v>
      </c>
      <c r="BI9" s="37">
        <v>0</v>
      </c>
      <c r="BJ9" s="37">
        <v>0</v>
      </c>
      <c r="BK9" s="36">
        <v>0</v>
      </c>
      <c r="BL9" s="36">
        <v>0</v>
      </c>
      <c r="BM9" s="35">
        <v>9936</v>
      </c>
      <c r="BN9" s="37">
        <v>0</v>
      </c>
      <c r="BO9" s="37">
        <v>0</v>
      </c>
      <c r="BP9" s="37">
        <v>0</v>
      </c>
    </row>
    <row r="10" spans="1:72" x14ac:dyDescent="0.25">
      <c r="A10" s="36" t="s">
        <v>89</v>
      </c>
      <c r="B10" s="37">
        <v>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5">
        <v>0</v>
      </c>
      <c r="AB10" s="35">
        <v>0</v>
      </c>
      <c r="AC10" s="35">
        <v>0</v>
      </c>
      <c r="AD10" s="35">
        <v>0</v>
      </c>
      <c r="AE10" s="35">
        <v>0</v>
      </c>
      <c r="AF10" s="35">
        <v>0</v>
      </c>
      <c r="AG10" s="35">
        <v>0</v>
      </c>
      <c r="AH10" s="35">
        <v>0</v>
      </c>
      <c r="AI10" s="35">
        <v>0</v>
      </c>
      <c r="AJ10" s="35">
        <v>0</v>
      </c>
      <c r="AK10" s="35">
        <v>0</v>
      </c>
      <c r="AL10" s="35">
        <v>0</v>
      </c>
      <c r="AM10" s="35">
        <v>0</v>
      </c>
      <c r="AN10" s="35">
        <v>0</v>
      </c>
      <c r="AO10" s="35">
        <v>0</v>
      </c>
      <c r="AP10" s="35">
        <v>0</v>
      </c>
      <c r="AQ10" s="35">
        <v>0</v>
      </c>
      <c r="AR10" s="35">
        <v>0</v>
      </c>
      <c r="AS10" s="35">
        <v>0</v>
      </c>
      <c r="AT10" s="35">
        <v>0</v>
      </c>
      <c r="AU10" s="35">
        <v>0</v>
      </c>
      <c r="AV10" s="35">
        <v>0</v>
      </c>
      <c r="AW10" s="35">
        <v>0</v>
      </c>
      <c r="AX10" s="35">
        <v>0</v>
      </c>
      <c r="AY10" s="35">
        <v>0</v>
      </c>
      <c r="AZ10" s="35">
        <v>0</v>
      </c>
      <c r="BA10" s="35">
        <v>0</v>
      </c>
      <c r="BB10" s="35">
        <v>0</v>
      </c>
      <c r="BC10" s="35">
        <v>0</v>
      </c>
      <c r="BD10" s="35">
        <v>0</v>
      </c>
      <c r="BE10" s="35">
        <v>0</v>
      </c>
      <c r="BF10" s="35">
        <v>0</v>
      </c>
      <c r="BG10" s="35">
        <v>0</v>
      </c>
      <c r="BH10" s="35">
        <v>0</v>
      </c>
      <c r="BI10" s="35">
        <v>0</v>
      </c>
      <c r="BJ10" s="35">
        <v>0</v>
      </c>
      <c r="BK10" s="35">
        <v>0</v>
      </c>
      <c r="BL10" s="35">
        <v>0</v>
      </c>
      <c r="BM10" s="35">
        <v>0</v>
      </c>
      <c r="BN10" s="35">
        <v>0</v>
      </c>
      <c r="BO10" s="35">
        <v>0</v>
      </c>
      <c r="BP10" s="35">
        <v>0</v>
      </c>
    </row>
  </sheetData>
  <customSheetViews>
    <customSheetView guid="{C0A7FD7D-CD92-4CA6-A897-2F5C97D88BA3}">
      <selection activeCell="B10" sqref="B10:BP10"/>
      <pageMargins left="0.7" right="0.7" top="0.75" bottom="0.75" header="0.3" footer="0.3"/>
    </customSheetView>
  </customSheetViews>
  <mergeCells count="17">
    <mergeCell ref="AX1:BA1"/>
    <mergeCell ref="BC1:BF1"/>
    <mergeCell ref="BG1:BJ1"/>
    <mergeCell ref="BM1:BP1"/>
    <mergeCell ref="BQ1:BT1"/>
    <mergeCell ref="AT1:AW1"/>
    <mergeCell ref="B1:E1"/>
    <mergeCell ref="F1:I1"/>
    <mergeCell ref="J1:M1"/>
    <mergeCell ref="N1:Q1"/>
    <mergeCell ref="R1:U1"/>
    <mergeCell ref="V1:Y1"/>
    <mergeCell ref="Z1:AC1"/>
    <mergeCell ref="AD1:AG1"/>
    <mergeCell ref="AH1:AK1"/>
    <mergeCell ref="AL1:AO1"/>
    <mergeCell ref="AP1:AS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 Calculator</vt:lpstr>
      <vt:lpstr>Sheet2</vt:lpstr>
      <vt:lpstr>Class</vt:lpstr>
      <vt:lpstr>'Budget Calculator'!Print_Area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Esmeralda Espino;Nathalie Irias</dc:creator>
  <cp:lastModifiedBy>Marco Castellanos</cp:lastModifiedBy>
  <cp:lastPrinted>2021-02-09T20:31:13Z</cp:lastPrinted>
  <dcterms:created xsi:type="dcterms:W3CDTF">2019-07-25T15:42:00Z</dcterms:created>
  <dcterms:modified xsi:type="dcterms:W3CDTF">2025-03-21T17:28:30Z</dcterms:modified>
</cp:coreProperties>
</file>